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Лист2" sheetId="1" r:id="rId1"/>
    <sheet name="Лист3" sheetId="2" r:id="rId2"/>
  </sheets>
  <externalReferences>
    <externalReference r:id="rId5"/>
  </externalReferences>
  <definedNames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</definedNames>
  <calcPr fullCalcOnLoad="1"/>
</workbook>
</file>

<file path=xl/sharedStrings.xml><?xml version="1.0" encoding="utf-8"?>
<sst xmlns="http://schemas.openxmlformats.org/spreadsheetml/2006/main" count="6309" uniqueCount="431">
  <si>
    <t xml:space="preserve"> ОТЧЕТ УПРАВЛЯЮЩЕЙ ОРГАНИЗАЦИИ</t>
  </si>
  <si>
    <t>перед собственниками помещений о выполнении</t>
  </si>
  <si>
    <t>1 Общие сведения о многоквартирном доме</t>
  </si>
  <si>
    <t>адрес многоквартирного дома   ул. Дружбы 11</t>
  </si>
  <si>
    <t>в т.ч.</t>
  </si>
  <si>
    <t>нежилых помещений     кв.м.</t>
  </si>
  <si>
    <t>2 Отчет по затратам на содержание, ремонт общего имущества в</t>
  </si>
  <si>
    <t>многоквартирном доме и коммунальные услуги за отчетный период</t>
  </si>
  <si>
    <t>№ п/п</t>
  </si>
  <si>
    <t>Остаток средств</t>
  </si>
  <si>
    <t>Начислено</t>
  </si>
  <si>
    <t>Задолженность</t>
  </si>
  <si>
    <t>населения</t>
  </si>
  <si>
    <t>наименование</t>
  </si>
  <si>
    <t>средств</t>
  </si>
  <si>
    <t xml:space="preserve">Поступило </t>
  </si>
  <si>
    <t xml:space="preserve">Выполнены </t>
  </si>
  <si>
    <t>работы</t>
  </si>
  <si>
    <t>Содержание общего имущества, в т.ч.</t>
  </si>
  <si>
    <t>1.1.</t>
  </si>
  <si>
    <t>1.2.</t>
  </si>
  <si>
    <t>Содержание лифтов</t>
  </si>
  <si>
    <t>Сбор. Вывоз ТБО</t>
  </si>
  <si>
    <t>Содержание мусоропроводов</t>
  </si>
  <si>
    <t>Текущий ремонт общего имущества</t>
  </si>
  <si>
    <t>Капитальный ремонт общего имущества</t>
  </si>
  <si>
    <t>Коммунальные услуги вт.ч.</t>
  </si>
  <si>
    <t>7.1.</t>
  </si>
  <si>
    <t>Электроснабжение</t>
  </si>
  <si>
    <t>7.2.</t>
  </si>
  <si>
    <t>Холодное водоснабжение и водоотведение</t>
  </si>
  <si>
    <t>7.3.</t>
  </si>
  <si>
    <t>Горячее водоснабжение</t>
  </si>
  <si>
    <t>7.4.</t>
  </si>
  <si>
    <t>Центральное отопление</t>
  </si>
  <si>
    <t>адрес многоквартирного дома   ул. Дружбы 15</t>
  </si>
  <si>
    <t>адрес многоквартирного дома   пер. Малинники 15</t>
  </si>
  <si>
    <t>адрес многоквартирного дом пер. Малинники 17</t>
  </si>
  <si>
    <t>адрес многоквартирного дома   ул. Промышленная 10</t>
  </si>
  <si>
    <t>адрес многоквартирного дома   ул.Ольговская 5</t>
  </si>
  <si>
    <t>адрес многоквартирного дома   ул. Промышленная 36</t>
  </si>
  <si>
    <t>адрес многоквартирного дома   ул. Тарутинская 171 к.1</t>
  </si>
  <si>
    <t>адрес многоквартирного дома   ул. Тарутинская 171 к.2</t>
  </si>
  <si>
    <t>адрес многоквартирного дома   пер.Дорожный 8</t>
  </si>
  <si>
    <t>адрес многоквартирного дом Северная 96</t>
  </si>
  <si>
    <t>адрес многоквартирного дом ул. Дружбы 17</t>
  </si>
  <si>
    <t>адрес многоквартирного дома   ул. Дружбы 12</t>
  </si>
  <si>
    <t>адрес многоквартирного дом ул. Дружбы 13</t>
  </si>
  <si>
    <t>адрес многоквартирного дома   ул. Тракторная 49</t>
  </si>
  <si>
    <t>адрес многоквартирного дом пер. Ольговский 12</t>
  </si>
  <si>
    <t>адрес многоквартирного дома   ул. Дружбы 19</t>
  </si>
  <si>
    <t>адрес многоквартирного дома   ул. Тарутинская 194 к.1</t>
  </si>
  <si>
    <t>адрес многоквартирного дома   ул. Тарутинская 188</t>
  </si>
  <si>
    <t>адрес многоквартирного дома   ул. Тарутинская 184</t>
  </si>
  <si>
    <t>адрес многоквартирного дома   ул. Ольговская 17</t>
  </si>
  <si>
    <t>адрес многоквартирного дом ул. Шахтеров 4</t>
  </si>
  <si>
    <t>адрес многоквартирного дом ул. Северная 65/2</t>
  </si>
  <si>
    <t>адрес многоквартирного дома   ул. Ольговская 14</t>
  </si>
  <si>
    <t>адрес многоквартирного дома   ул. Ольговская 16</t>
  </si>
  <si>
    <t>адрес многоквартирного дома   ул. Тарутинская 192 к.1</t>
  </si>
  <si>
    <t>адрес многоквартирного дома   ул. Ольговская 15</t>
  </si>
  <si>
    <t>адрес многоквартирного дома   ул. Ольговская 19</t>
  </si>
  <si>
    <t>адрес многоквартирного дома   ул. Тарутинская 186</t>
  </si>
  <si>
    <t>адрес многоквартирного дом ул. Тарутинская  192</t>
  </si>
  <si>
    <t>адрес многоквартирного дом ул. Тарутинская 194</t>
  </si>
  <si>
    <t>адрес многоквартирного дом ул. Ольговская 6</t>
  </si>
  <si>
    <t>адрес многоквартирного дом ул. Ольговская 8</t>
  </si>
  <si>
    <t>адрес многоквартирного дом ул. Ольговская 10/5</t>
  </si>
  <si>
    <t>адрес многоквартирного дом ул. Ольговская 12</t>
  </si>
  <si>
    <t>адрес многоквартирного дом пер. Ольговский  3</t>
  </si>
  <si>
    <t>адрес многоквартирного дома   ул. Тарутинская 186 к.1</t>
  </si>
  <si>
    <t>адрес многоквартирного дом ул. Забойная 1/69</t>
  </si>
  <si>
    <t>адрес многоквартирного дом ул. Врубовая 2/63</t>
  </si>
  <si>
    <t>адрес многоквартирного дом ул. Промышленная 1</t>
  </si>
  <si>
    <t>общая площадь многоквартирного дома                   4709,1 кв.м.</t>
  </si>
  <si>
    <t>жилых помещений                          3228,6 кв.м.</t>
  </si>
  <si>
    <t>общая площадь многоквартирного дома                 3325,7  кв.м.</t>
  </si>
  <si>
    <t>жилых помещений               2301,2кв.м.</t>
  </si>
  <si>
    <t>общая площадь многоквартирного дома                   2834,9кв.м.</t>
  </si>
  <si>
    <t>жилых помещений       1335,3кв.м.</t>
  </si>
  <si>
    <t>общая площадь многоквартирного дома                  3245,6 кв.м.</t>
  </si>
  <si>
    <t>жилых помещений         1862,2 кв.м.</t>
  </si>
  <si>
    <t>общая площадь многоквартирного дома                  2932,1 кв.м.</t>
  </si>
  <si>
    <t>жилых помещений       1373,5кв.м.</t>
  </si>
  <si>
    <t>общая площадь многоквартирного дома                  2843,8 кв.м.</t>
  </si>
  <si>
    <t>жилых помещений         1473 кв.м.</t>
  </si>
  <si>
    <t>общая площадь многоквартирного дома                  2076,1 кв.м.</t>
  </si>
  <si>
    <t>жилых помещений       1214 кв.м.</t>
  </si>
  <si>
    <t>общая площадь многоквартирного дома                 3464,7  кв.м.</t>
  </si>
  <si>
    <t>жилых помещений           1816,7кв.м.</t>
  </si>
  <si>
    <t>общая площадь многоквартирного дома                  3538,7 кв.м.</t>
  </si>
  <si>
    <t>жилых помещений           1827,4кв.м.</t>
  </si>
  <si>
    <t>общая площадь многоквартирного дома                  4163,9 кв.м.</t>
  </si>
  <si>
    <t>жилых помещений     2585,5кв.м.</t>
  </si>
  <si>
    <t>общая площадь многоквартирного дома                 3340,9 кв.м.</t>
  </si>
  <si>
    <t>жилых помещений       2320кв.м.</t>
  </si>
  <si>
    <t>общая площадь многоквартирного дома                   1339кв.м.</t>
  </si>
  <si>
    <t>жилых помещений       830кв.м.</t>
  </si>
  <si>
    <t>общая площадь многоквартирного дома                 4198,7  кв.м.</t>
  </si>
  <si>
    <t>жилых помещений     2629,9 кв.м.</t>
  </si>
  <si>
    <t>общая площадь многоквартирного дома                  3324,4 кв.м.</t>
  </si>
  <si>
    <t>жилых помещений      2287,6кв.м.</t>
  </si>
  <si>
    <t>общая площадь многоквартирного дома                  2407,4 кв.м.</t>
  </si>
  <si>
    <t>жилых помещений       1303,1кв.м.</t>
  </si>
  <si>
    <t>общая площадь многоквартирного дома                   3337,5кв.м.</t>
  </si>
  <si>
    <t>жилых помещений      2303,2кв.м.</t>
  </si>
  <si>
    <t>общая площадь многоквартирного дома                 3387  кв.м.</t>
  </si>
  <si>
    <t>жилых помещений       2331,3 кв.м.</t>
  </si>
  <si>
    <t>общая площадь многоквартирного дома                  3329,6 кв.м.</t>
  </si>
  <si>
    <t>жилых помещений        2207,2кв.м.</t>
  </si>
  <si>
    <t>нежилых помещений          699,6кв.м.</t>
  </si>
  <si>
    <t>общая площадь многоквартирного дома                   4900,3кв.м.</t>
  </si>
  <si>
    <t>жилых помещений       2611,5кв.м.</t>
  </si>
  <si>
    <t>нежилых помещений        1075,7 кв.м.</t>
  </si>
  <si>
    <t>общая площадь многоквартирного дома                 3319,9  кв.м.</t>
  </si>
  <si>
    <t>жилых помещений      2125,5 кв.м.</t>
  </si>
  <si>
    <t>нежилых помещений       218,7 кв.м.</t>
  </si>
  <si>
    <t>общая площадь многоквартирного дома                 1272,8  кв.м.</t>
  </si>
  <si>
    <t>жилых помещений       728,9кв.м.</t>
  </si>
  <si>
    <t>нежилых помещений       98,5 кв.м.</t>
  </si>
  <si>
    <t>общая площадь многоквартирного дома                   1269кв.м.</t>
  </si>
  <si>
    <t>жилых помещений      822,5 кв.м.</t>
  </si>
  <si>
    <t>общая площадь многоквартирного дома                3359   кв.м.</t>
  </si>
  <si>
    <t>жилых помещений      2300,9 кв.м.</t>
  </si>
  <si>
    <t>общая площадь многоквартирного дома                  3322,9 кв.м.</t>
  </si>
  <si>
    <t>жилых помещений    2268,5 кв.м.</t>
  </si>
  <si>
    <t>общая площадь многоквартирного дома                  3334,4 кв.м.</t>
  </si>
  <si>
    <t>жилых помещений       2152,6кв.м.</t>
  </si>
  <si>
    <t>нежилых помещений       217,4кв.м.</t>
  </si>
  <si>
    <t>общая площадь многоквартирного дома                   3314,8кв.м.</t>
  </si>
  <si>
    <t>жилых помещений       2283,9кв.м.</t>
  </si>
  <si>
    <t>общая площадь многоквартирного дома                  3346,3 кв.м.</t>
  </si>
  <si>
    <t>жилых помещений       2299кв.м.</t>
  </si>
  <si>
    <t>общая площадь многоквартирного дома                 3354,6  кв.м.</t>
  </si>
  <si>
    <t>жилых помещений      2226,1 кв.м.</t>
  </si>
  <si>
    <t>нежилых помещений        109,8кв.м.</t>
  </si>
  <si>
    <t>общая площадь многоквартирного дома                 726,1  кв.м.</t>
  </si>
  <si>
    <t>жилых помещений       474,7кв.м.</t>
  </si>
  <si>
    <t>общая площадь многоквартирного дома                  394,2 кв.м.</t>
  </si>
  <si>
    <t>жилых помещений     253,6 кв.м.</t>
  </si>
  <si>
    <t>общая площадь многоквартирного дома                 340,4 кв.м.</t>
  </si>
  <si>
    <t>жилых помещений       224,1кв.м.</t>
  </si>
  <si>
    <t>общая площадь многоквартирного дома                 347,6  кв.м.</t>
  </si>
  <si>
    <t>жилых помещений        226,6кв.м.</t>
  </si>
  <si>
    <t>общая площадь многоквартирного дома                  362,5 кв.м.</t>
  </si>
  <si>
    <t>жилых помещений      228,2 кв.м.</t>
  </si>
  <si>
    <t>общая площадь многоквартирного дома                  569,1 кв.м.</t>
  </si>
  <si>
    <t>жилых помещений       381,9кв.м.</t>
  </si>
  <si>
    <t>общая площадь многоквартирного дома                 361,7  кв.м.</t>
  </si>
  <si>
    <t>жилых помещений        237кв.м.</t>
  </si>
  <si>
    <t>общая площадь многоквартирного дома                 3913,4  кв.м.</t>
  </si>
  <si>
    <t>жилых помещений      2649,6 кв.м.</t>
  </si>
  <si>
    <t>общая площадь многоквартирного дома                  1948,7 кв.м.</t>
  </si>
  <si>
    <t>жилых помещений      964,8 кв.м.</t>
  </si>
  <si>
    <t>нежилых помещений      501,9 кв.м.</t>
  </si>
  <si>
    <t>общая площадь многоквартирного дома                1948,7   кв.м.</t>
  </si>
  <si>
    <t>нежилых помещений        150кв.м.</t>
  </si>
  <si>
    <t>общая площадь многоквартирного дома                192,7   кв.м.</t>
  </si>
  <si>
    <t>жилых помещений      125 кв.м.</t>
  </si>
  <si>
    <t>адрес многоквартирного дома   пер Малинники 7 к.2</t>
  </si>
  <si>
    <t>жилых помещений      1457,6 кв.м.</t>
  </si>
  <si>
    <t>адрес многоквартирного дом ул.Шахтеров 5</t>
  </si>
  <si>
    <t>общая площадь многоквартирного дома                1812,7   кв.м.</t>
  </si>
  <si>
    <t>жилых помещений      963,3 кв.м.</t>
  </si>
  <si>
    <t>нежилых помещений        365,4м.</t>
  </si>
  <si>
    <t>адрес многоквартирного дома   ул. Тарутинская 200 к.1</t>
  </si>
  <si>
    <t>общая площадь многоквартирного дома                 2493,4  кв.м.</t>
  </si>
  <si>
    <t>общая площадь многоквартирного дома                   3391,8кв.м.</t>
  </si>
  <si>
    <t>жилых помещений      2169,7 кв.м.</t>
  </si>
  <si>
    <t>нежилых помещений        111кв.м.</t>
  </si>
  <si>
    <t>адрес многоквартирного дома   ул. Тарутинская 202</t>
  </si>
  <si>
    <t>общая площадь многоквартирного дома                 3396,9  кв.м.</t>
  </si>
  <si>
    <t>жилых помещений      2324 кв.м.</t>
  </si>
  <si>
    <t>адрес многоквартирного дома   ул. Ольговская 13</t>
  </si>
  <si>
    <t>общая площадь многоквартирного дома                 3350,1  кв.м.</t>
  </si>
  <si>
    <t>жилых помещений      2254,5 кв.м.</t>
  </si>
  <si>
    <t>нежилых помещений      107,3кв.м.</t>
  </si>
  <si>
    <t>адрес многоквартирного дом ул.Шахтеров 6</t>
  </si>
  <si>
    <t>общая площадь многоквартирного дома                1270,9   кв.м.</t>
  </si>
  <si>
    <t>жилых помещений     835 кв.м.</t>
  </si>
  <si>
    <t>адрес многоквартирного дома   ул. Ольговская 10 к.1</t>
  </si>
  <si>
    <t>общая площадь многоквартирного дома                 3367,7 кв.м.</t>
  </si>
  <si>
    <t>жилых помещений      2328,7 кв.м.</t>
  </si>
  <si>
    <t>нежилых помещений      кв.м.</t>
  </si>
  <si>
    <t>нежилых помещений       м.</t>
  </si>
  <si>
    <t>адрес многоквартирного дома   ул. Ольговская 12 к.1</t>
  </si>
  <si>
    <t>общая площадь многоквартирного дома                 3310,6  кв.м.</t>
  </si>
  <si>
    <t>жилых помещений      2289,1 кв.м.</t>
  </si>
  <si>
    <t>адрес многоквартирного дом ул Врубовая 4</t>
  </si>
  <si>
    <t>жилых помещений     1428,2кв.м.</t>
  </si>
  <si>
    <t>адрес многоквартирного дом ул. Механизаторов 23</t>
  </si>
  <si>
    <t>общая площадь многоквартирного дома               4677,7   кв.м.</t>
  </si>
  <si>
    <t>жилых помещений     3118,9 кв.м.</t>
  </si>
  <si>
    <t>адрес многоквартирного дом пер. Ольговский 11</t>
  </si>
  <si>
    <t>общая площадь многоквартирного дома                3325,7   кв.м.</t>
  </si>
  <si>
    <t>жилых помещений     2297,2кв.м.</t>
  </si>
  <si>
    <t>адрес многоквартирного дом ул Дружбы 7</t>
  </si>
  <si>
    <t>общая площадь многоквартирного дома               2107,8   кв.м.</t>
  </si>
  <si>
    <t>жилых помещений     1259,6кв.м.</t>
  </si>
  <si>
    <t>адрес многоквартирного дома   ул. Промышленная 4</t>
  </si>
  <si>
    <t>общая площадь многоквартирного дома                5443,9  кв.м.</t>
  </si>
  <si>
    <t>жилых помещений      3221,6 кв.м.</t>
  </si>
  <si>
    <t>адрес многоквартирного дом ул Дружбы 6</t>
  </si>
  <si>
    <t>общая площадь многоквартирного дома               4778,6   кв.м.</t>
  </si>
  <si>
    <t>жилых помещений     2763,8кв.м.</t>
  </si>
  <si>
    <t>адрес многоквартирного дома   ул. Тракторная 52</t>
  </si>
  <si>
    <t>общая площадь многоквартирного дома                3599,8  кв.м.</t>
  </si>
  <si>
    <t>жилых помещений      2122,9 кв.м.</t>
  </si>
  <si>
    <t>нежилых помещений      147,3 кв.м.</t>
  </si>
  <si>
    <t>адрес многоквартирного дом ул Дружбы 9</t>
  </si>
  <si>
    <t>общая площадь многоквартирного дома               3288   кв.м.</t>
  </si>
  <si>
    <t>жилых помещений     2275 кв.м.</t>
  </si>
  <si>
    <t>адрес многоквартирного дома   ул. Новослободская 20</t>
  </si>
  <si>
    <t>общая площадь многоквартирного дома                2414,6  кв.м.</t>
  </si>
  <si>
    <t>жилых помещений      1334,6 кв.м.</t>
  </si>
  <si>
    <t>нежилых помещений       кв.м.</t>
  </si>
  <si>
    <t>адрес многоквартирного дома   пер. Врубовой 4</t>
  </si>
  <si>
    <t>общая площадь многоквартирного дома               7747,2  кв.м.</t>
  </si>
  <si>
    <t>жилых помещений      4354,6 кв.м.</t>
  </si>
  <si>
    <t>адрес многоквартирного дома   ул. Отбойная 18/2</t>
  </si>
  <si>
    <t>общая площадь многоквартирного дома               8294,6  кв.м.</t>
  </si>
  <si>
    <t>жилых помещений      4758,9 кв.м.</t>
  </si>
  <si>
    <t>адрес многоквартирного дома   Дружбы 5</t>
  </si>
  <si>
    <t>общая площадь многоквартирного дома               2331,9  кв.м.</t>
  </si>
  <si>
    <t>жилых помещений      1295,6 кв.м.</t>
  </si>
  <si>
    <t>адрес многоквартирного дом ул Шахтеров 3</t>
  </si>
  <si>
    <t>общая площадь многоквартирного дома               1573,1   кв.м.</t>
  </si>
  <si>
    <t>жилых помещений     1063,7 кв.м.</t>
  </si>
  <si>
    <t>адрес многоквартирного дома   ул. Шахтеров 13</t>
  </si>
  <si>
    <t>общая площадь многоквартирного дома               2308,7  кв.м.</t>
  </si>
  <si>
    <t>жилых помещений      1359,9 кв.м.</t>
  </si>
  <si>
    <t>адрес многоквартирного дома   ул. Дружбы 10</t>
  </si>
  <si>
    <t>адрес многоквартирного дом ул Промышленная 2</t>
  </si>
  <si>
    <t>общая площадь многоквартирного дома              3251,8   кв.м.</t>
  </si>
  <si>
    <t>жилых помещений     1880,6 кв.м.</t>
  </si>
  <si>
    <t>адрес многоквартирного дом ул Промышленная 6</t>
  </si>
  <si>
    <t>общая площадь многоквартирного дома               3289   кв.м.</t>
  </si>
  <si>
    <t>жилых помещений     1889,5 кв.м.</t>
  </si>
  <si>
    <t>адрес многоквартирного дом ул Промышленная 8</t>
  </si>
  <si>
    <t>общая площадь многоквартирного дома               2799,8   кв.м.</t>
  </si>
  <si>
    <t>жилых помещений     1730,1 кв.м.</t>
  </si>
  <si>
    <t>адрес многоквартирного дом пер. Малинники 7 к.1</t>
  </si>
  <si>
    <t>общая площадь многоквартирного дома               2788,8   кв.м.</t>
  </si>
  <si>
    <t>нежилых помещений       46,5 кв.м.</t>
  </si>
  <si>
    <t>жилых помещений    1688,4 кв.м.</t>
  </si>
  <si>
    <t>адрес многоквартирного дом пер. Малинники 9</t>
  </si>
  <si>
    <t>общая площадь многоквартирного дома               4514   кв.м.</t>
  </si>
  <si>
    <t>жилых помещений     2993,1 кв.м.</t>
  </si>
  <si>
    <t>адрес многоквартирного дома   ул. Забойная 3</t>
  </si>
  <si>
    <t>общая площадь многоквартирного дома              4565,6  кв.м.</t>
  </si>
  <si>
    <t>жилых помещений     2210,8 кв.м.</t>
  </si>
  <si>
    <t>нежилых помещений      115,7 кв.м.</t>
  </si>
  <si>
    <t>адрес многоквартирного дома   ул. Ольговская 3</t>
  </si>
  <si>
    <t>общая площадь многоквартирного дома              3439,8  кв.м.</t>
  </si>
  <si>
    <t>жилых помещений    2031,9 кв.м.</t>
  </si>
  <si>
    <t>адрес многоквартирного дом пер. Ольговский 9</t>
  </si>
  <si>
    <t>общая площадь многоквартирного дома               3283,6   кв.м.</t>
  </si>
  <si>
    <t>жилых помещений     2270,7 кв.м.</t>
  </si>
  <si>
    <t>общая площадь многоквартирного дома               2132,1  кв.м.</t>
  </si>
  <si>
    <t>жилых помещений    1305,7 кв.м.</t>
  </si>
  <si>
    <t>общая площадь многоквартирного дома                 1526,6 кв.м.</t>
  </si>
  <si>
    <t>жилых помещений       776,2 кв.м.</t>
  </si>
  <si>
    <t xml:space="preserve">ОТЧЕТ УПРАВЛЯЮЩЕЙ ОРГАНИЗАЦИИ </t>
  </si>
  <si>
    <t>Адрес многоквартирного дома  ул. Дружбы д. 11</t>
  </si>
  <si>
    <t xml:space="preserve">N  </t>
  </si>
  <si>
    <t>п/п</t>
  </si>
  <si>
    <t>Виды услуг (работ)</t>
  </si>
  <si>
    <t>Дата принятого решения</t>
  </si>
  <si>
    <t>Затраты за отчетный</t>
  </si>
  <si>
    <t>период (руб.)</t>
  </si>
  <si>
    <t xml:space="preserve">1. </t>
  </si>
  <si>
    <t xml:space="preserve">Текущий ремонт жилищного фонда, в том числе:                 </t>
  </si>
  <si>
    <t>Текущий ремонт конструктивных элементов жилых зданий</t>
  </si>
  <si>
    <t xml:space="preserve">Текущий ремонт внутридомовых тепловых сетей </t>
  </si>
  <si>
    <t>Текущий ремонт внутридомовых сетей горячего водоснабжения</t>
  </si>
  <si>
    <t>Текущий ремонт внутридомовых сетей холодного водоснабжения</t>
  </si>
  <si>
    <t>Текущий ремонт внутридомовых канализационных сетей</t>
  </si>
  <si>
    <t>Текущий ремонт электрических сетей</t>
  </si>
  <si>
    <t>2.</t>
  </si>
  <si>
    <t>Капитальный ремонт</t>
  </si>
  <si>
    <t>2.1.</t>
  </si>
  <si>
    <t>2.2.</t>
  </si>
  <si>
    <t>…</t>
  </si>
  <si>
    <t>Директор</t>
  </si>
  <si>
    <t>управляющей организации ___________________________________________________</t>
  </si>
  <si>
    <t xml:space="preserve">                                (название управляющей организации)</t>
  </si>
  <si>
    <t>______________  _______________________                   Дата ______________</t>
  </si>
  <si>
    <t xml:space="preserve">       (Ф.И.О, подпись, печать)</t>
  </si>
  <si>
    <r>
      <t xml:space="preserve">В целях контроля отчет предоставлен:_______________________________________   </t>
    </r>
    <r>
      <rPr>
        <i/>
        <sz val="10"/>
        <rFont val="Arial"/>
        <family val="2"/>
      </rPr>
      <t>(указать: уполномоченному лицу (лицам), определенному решением общего собрания, собственникам помещений и т.д.)</t>
    </r>
  </si>
  <si>
    <t xml:space="preserve">       (Ф.И.О, подпись)   </t>
  </si>
  <si>
    <t>3. Отчет по фактически выполненных работах по ремонту общего имещества в многоквартирном доме на основании принятого решения собственниками помещений</t>
  </si>
  <si>
    <t>ООО "Жилищное РЭУ №8"</t>
  </si>
  <si>
    <t>1.4</t>
  </si>
  <si>
    <t>1.3</t>
  </si>
  <si>
    <t>1.5</t>
  </si>
  <si>
    <t>1.6</t>
  </si>
  <si>
    <t>Адрес многоквартирного дома  ул. Дружбы д. 15</t>
  </si>
  <si>
    <t>Адрес многоквартирного дома  пер. Малинники д. 15</t>
  </si>
  <si>
    <t>Адрес многоквартирного дома  пер. Малинники д. 17</t>
  </si>
  <si>
    <t>Адрес многоквартирного дома  ул. Промышленная д. 10</t>
  </si>
  <si>
    <t>Адрес многоквартирного дома ул. Ольговская д. 5</t>
  </si>
  <si>
    <t>Адрес многоквартирного дома  ул. Тарутинская д. 171 к.1</t>
  </si>
  <si>
    <t>Адрес многоквартирного дома  пер. Дорожный д. 8</t>
  </si>
  <si>
    <t>Адрес многоквартирного дома  ул. Северная д. 96</t>
  </si>
  <si>
    <t>Адрес многоквартирного дома  ул. Дружбы д. 17</t>
  </si>
  <si>
    <t>Адрес многоквартирного дома  ул. Дружбы д. 12</t>
  </si>
  <si>
    <t>Адрес многоквартирного дома  ул. Дружбы д. 13</t>
  </si>
  <si>
    <t>Адрес многоквартирного дома  ул. Тракторная д. 49</t>
  </si>
  <si>
    <t>Адрес многоквартирного дома  пер. Ольговский д. 12</t>
  </si>
  <si>
    <t>Адрес многоквартирного дома  ул. Дружбы д. 19</t>
  </si>
  <si>
    <t>Адрес многоквартирного дома  ул. Тарутинская д. 194 к. 1</t>
  </si>
  <si>
    <t>Адрес многоквартирного дома  ул. Тарутинская д 188</t>
  </si>
  <si>
    <t>Адрес многоквартирного дома  ул. Тарутинская д. 184</t>
  </si>
  <si>
    <t>Адрес многоквартирного дома  ул. Ольговская д. 17</t>
  </si>
  <si>
    <t>Адрес многоквартирного дома  ул. Шахтеров д. 4</t>
  </si>
  <si>
    <t>Адрес многоквартирного дома  ул. Северная 65/2</t>
  </si>
  <si>
    <t>Адрес многоквартирного дома  ул. Ольговская д. 14</t>
  </si>
  <si>
    <t>Адрес многоквартирного дома  ул. Ольговская д. 16</t>
  </si>
  <si>
    <t>Адрес многоквартирного дома  ул. Тарутинская д. 192 к. 1</t>
  </si>
  <si>
    <t>Адрес многоквартирного дома ул. Ольговская д. 15</t>
  </si>
  <si>
    <t>Адрес многоквартирного дома  ул. Ольговская д. 19</t>
  </si>
  <si>
    <t>Адрес многоквартирного дома  ул. Тарутинская д. 186</t>
  </si>
  <si>
    <t>Адрес многоквартирного дома  ул. Тарутинская д. 192</t>
  </si>
  <si>
    <t>Адрес многоквартирного дома  ул. Тарутинская д. 194</t>
  </si>
  <si>
    <t>Адрес многоквартирного дома  ул. Ольговская д. 10/5</t>
  </si>
  <si>
    <t>Адрес многоквартирного дома  ул. Ольговская д. 12</t>
  </si>
  <si>
    <t>Адрес многоквартирного дома  пер. Ольговский д. 3</t>
  </si>
  <si>
    <t>Адрес многоквартирного дома  ул. Тарутинская д. 186 к. 1</t>
  </si>
  <si>
    <t>Адрес многоквартирного дома  ул. Забойная д. 1/69</t>
  </si>
  <si>
    <t>Адрес многоквартирного дома  ул. Врубовая д. 2/63</t>
  </si>
  <si>
    <t>Адрес многоквартирного дома  пер. Малинники д. 7 к. 2</t>
  </si>
  <si>
    <t>Адрес многоквартирного дома  ул. Шахтеров д. 5</t>
  </si>
  <si>
    <t>Адрес многоквартирного дома  ул. Тарутинская д. 200 к. 1</t>
  </si>
  <si>
    <t>Адрес многоквартирного дома  ул. Тарутинская д. 202</t>
  </si>
  <si>
    <t>Адрес многоквартирного дома  ул. Ольговская д. 13</t>
  </si>
  <si>
    <t>Адрес многоквартирного дома  ул. Шахтеров д. 6</t>
  </si>
  <si>
    <t>Адрес многоквартирного дома  ул. Ольговская д. 10 к. 1</t>
  </si>
  <si>
    <t>Адрес многоквартирного дома  ул. Ольговская д. 12 к. 1</t>
  </si>
  <si>
    <t>Адрес многоквартирного дома  пер. Врубовой д. 4</t>
  </si>
  <si>
    <t>Адрес многоквартирного дома  ул. Механизаторов д. 23</t>
  </si>
  <si>
    <t>Адрес многоквартирного дома  пер. Ольговскийд. 11</t>
  </si>
  <si>
    <t>Адрес многоквартирного дома  ул. Дружбы д. 7</t>
  </si>
  <si>
    <t>Адрес многоквартирного дома  ул. Промышленная д. 4</t>
  </si>
  <si>
    <t>Адрес многоквартирного дома  ул. Дружбы д. 6</t>
  </si>
  <si>
    <t>Капитальный ремонт конструктивных элементов</t>
  </si>
  <si>
    <t>Адрес многоквартирного дома  ул. Тракторная д. 52</t>
  </si>
  <si>
    <t>Адрес многоквартирного дома  ул. Дружбы д. 9</t>
  </si>
  <si>
    <t>Адрес многоквартирного дома  ул. Новослободская д. 20</t>
  </si>
  <si>
    <t>Адрес многоквартирного дома  ул. Врубовая д. 4</t>
  </si>
  <si>
    <t>Адрес многоквартирного дома  ул. Отбойная 18/2</t>
  </si>
  <si>
    <t>Адрес многоквартирного дома  ул. Дружбы д. 5</t>
  </si>
  <si>
    <t>Адрес многоквартирного дома  ул. Шахтеров д. 3</t>
  </si>
  <si>
    <t>Адрес многоквартирного дома  ул. Шахтеров д. 13</t>
  </si>
  <si>
    <t>Адрес многоквартирного дома ул. Дружбы д. 10</t>
  </si>
  <si>
    <t>Адрес многоквартирного дома  ул. Промышленная д. 2</t>
  </si>
  <si>
    <t>Адрес многоквартирного дома  ул. Промышленная д. 6</t>
  </si>
  <si>
    <t>Адрес многоквартирного дома  ул. Промышленная д. 8</t>
  </si>
  <si>
    <t>Адрес многоквартирного дома  пер. Малинники д. 7 к.1</t>
  </si>
  <si>
    <t>Адрес многоквартирного дома  пер. Малинники д. 9</t>
  </si>
  <si>
    <t>Адрес многоквартирного дома  ул. Забойная д. 3</t>
  </si>
  <si>
    <t>Адрес многоквартирного дома  ул. Ольговская д. 3</t>
  </si>
  <si>
    <t>Адрес многоквартирного дома  ул. Промышленная д. 36</t>
  </si>
  <si>
    <t>Капитальный ремонт конструктивных элементов (асфальт)</t>
  </si>
  <si>
    <t>Адрес многоквартирного дома  ул. Тарутинская д. 171 к. 2</t>
  </si>
  <si>
    <t>Адрес многоквартирного дома  ул. Ольговская д. 8</t>
  </si>
  <si>
    <t>Адрес многоквартирного дома  ул. Ольговская д. 6</t>
  </si>
  <si>
    <t>Адрес многоквартирного дома  ул. Промышленная д. 1</t>
  </si>
  <si>
    <t>Освещение мест общего пользования</t>
  </si>
  <si>
    <t>8.1.</t>
  </si>
  <si>
    <t>8.2.</t>
  </si>
  <si>
    <t>8.3.</t>
  </si>
  <si>
    <t>8.4.</t>
  </si>
  <si>
    <t>адрес многоквартирного дом ул. Новослободская,13</t>
  </si>
  <si>
    <t>общая площадь многоквартирного дома                88,2   кв.м.</t>
  </si>
  <si>
    <t>жилых помещений      56,5 кв.м.</t>
  </si>
  <si>
    <t>Адрес многоквартирного дома  ул. Новослободская д. 13</t>
  </si>
  <si>
    <t>адрес многоквартирного дом пер. Вагонный,8</t>
  </si>
  <si>
    <t>общая площадь многоквартирного дома                117,9   кв.м.</t>
  </si>
  <si>
    <t>жилых помещений      82,1 кв.м.</t>
  </si>
  <si>
    <t>Адрес многоквартирного дома  пер. Вагонный д. 8</t>
  </si>
  <si>
    <t>адрес многоквартирного дом ул. Тракторная,12</t>
  </si>
  <si>
    <t>общая площадь многоквартирного дома                82,9   кв.м.</t>
  </si>
  <si>
    <t>жилых помещений      55,8 кв.м.</t>
  </si>
  <si>
    <t>Адрес многоквартирного дома  ул. Тракторная д. 12</t>
  </si>
  <si>
    <t>Адрес многоквартирного дома  ул. Тракторная д. 22</t>
  </si>
  <si>
    <t>Адрес многоквартирного дома  ст. Перспективная 171 км</t>
  </si>
  <si>
    <t>Капитальный ремонт конструктивных элементов жилых зданий</t>
  </si>
  <si>
    <t>Адрес многоквартирного дома пер. Ольговский д. 9</t>
  </si>
  <si>
    <t>в 2014г руб</t>
  </si>
  <si>
    <t>Оплата за использование общедомового имущества провайдерами</t>
  </si>
  <si>
    <t>6.1</t>
  </si>
  <si>
    <t>Долг за Октябрьским округом за кап. Ремонт</t>
  </si>
  <si>
    <t>Долг за Октябрьским округом за кап. ремонт</t>
  </si>
  <si>
    <t>ООО "Жилищне РЭУ №8"</t>
  </si>
  <si>
    <t>Качаева Т.И.</t>
  </si>
  <si>
    <t>6,1</t>
  </si>
  <si>
    <t>_Качаева Т.И_  _______________________                   Дата ______________</t>
  </si>
  <si>
    <t>Долг за октябрьским округом за кап. Ремонт</t>
  </si>
  <si>
    <t>в 201г руб</t>
  </si>
  <si>
    <t>Замена квартирных эл. Счетчиков</t>
  </si>
  <si>
    <t>Замена оконных блоков в подъездах</t>
  </si>
  <si>
    <t>Долг за октябрьским округом за кап. Ремонт на 01.01.2010</t>
  </si>
  <si>
    <t>7,1</t>
  </si>
  <si>
    <t>Ремонт лифтового оборудования</t>
  </si>
  <si>
    <t xml:space="preserve">Долг за Октябрьским округом за кап. ремонт </t>
  </si>
  <si>
    <t>Долг за Октябьским округом за кап. ремонт</t>
  </si>
  <si>
    <t>Монтаж козырьков над подъездами</t>
  </si>
  <si>
    <t>Долг за окябрьским округом за кап. Ремонт</t>
  </si>
  <si>
    <t xml:space="preserve">Долг за Октябрьским округом за кап. Ремонт </t>
  </si>
  <si>
    <t>Долг За Октябрьским округом а кап. Ремонт</t>
  </si>
  <si>
    <t>Долг за Октябпьским округом за кап. Ремонт</t>
  </si>
  <si>
    <t>управляющей организации ____________________________________________</t>
  </si>
  <si>
    <t>1.7</t>
  </si>
  <si>
    <t>Решение собственников МКД закрытие задолженности кап. емонт.</t>
  </si>
  <si>
    <t>о</t>
  </si>
  <si>
    <t>общая площадь многоквартирного дома               1995,9   кв.м.</t>
  </si>
  <si>
    <t>договора управления многоквартирными домами за 2017 год</t>
  </si>
  <si>
    <t>на 01.01.2017 руб.</t>
  </si>
  <si>
    <t>в 2017 г. Руб.</t>
  </si>
  <si>
    <t>в 2017г руб</t>
  </si>
  <si>
    <t>на 01.01.2018 г. руб</t>
  </si>
  <si>
    <t>на 01.01.2018г руб</t>
  </si>
  <si>
    <t>Перевод денежных средств по решению собственников МКД, на текущий ремонт.</t>
  </si>
  <si>
    <t>Перевод денежных средств по решению собственников МКД на текущий ремонт</t>
  </si>
  <si>
    <t>Перевод денежных средст по решению собственников МКД</t>
  </si>
  <si>
    <t>перевод денежных средст по решению собственников МКД</t>
  </si>
  <si>
    <t>1,7</t>
  </si>
  <si>
    <t>перевд денежных средст по решению собственников МКД на капитальный ремонт</t>
  </si>
  <si>
    <t>Перевод денежных средств на текущий ремонт по решению собственников МКД</t>
  </si>
  <si>
    <t>з</t>
  </si>
  <si>
    <t>перевод денежных средств на текущий ремонт по решению собственников МКД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</si>
</sst>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_-;\-* #,##0.00_-;_-* &quot;-&quot;??_-;_-@_-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yyyy"/>
    <numFmt numFmtId="182" formatCode="dd/mm/"/>
    <numFmt numFmtId="183" formatCode="00"/>
    <numFmt numFmtId="184" formatCode="_-* #,##0\ _F_-;\-* #,##0\ _F_-;_-* &quot;-&quot;\ _F_-;_-@_-"/>
    <numFmt numFmtId="185" formatCode="_-* #,##0.00\ _F_-;\-* #,##0.00\ _F_-;_-* &quot;-&quot;??\ _F_-;_-@_-"/>
    <numFmt numFmtId="186" formatCode="_-&quot;Ј&quot;* #,##0_-;\-&quot;Ј&quot;* #,##0_-;_-&quot;Ј&quot;* &quot;-&quot;_-;_-@_-"/>
    <numFmt numFmtId="187" formatCode="_-&quot;Ј&quot;* #,##0.00_-;\-&quot;Ј&quot;* #,##0.00_-;_-&quot;Ј&quot;* &quot;-&quot;??_-;_-@_-"/>
    <numFmt numFmtId="188" formatCode="#,##0.00\ &quot;₽&quot;"/>
    <numFmt numFmtId="189" formatCode="[$-FC19]d\ mmmm\ yyyy\ &quot;г.&quot;"/>
    <numFmt numFmtId="190" formatCode="#,##0.00\ _₽"/>
    <numFmt numFmtId="191" formatCode="#,##0.00_ ;\-#,##0.00\ "/>
  </numFmts>
  <fonts count="49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i/>
      <sz val="10"/>
      <name val="Arial"/>
      <family val="2"/>
    </font>
    <font>
      <sz val="1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Helvetica-Narrow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justify"/>
    </xf>
    <xf numFmtId="2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vertical="justify"/>
    </xf>
    <xf numFmtId="0" fontId="1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16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vertical="justify"/>
    </xf>
    <xf numFmtId="2" fontId="14" fillId="0" borderId="10" xfId="0" applyNumberFormat="1" applyFont="1" applyBorder="1" applyAlignment="1">
      <alignment vertical="justify"/>
    </xf>
    <xf numFmtId="191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vertical="justify"/>
    </xf>
    <xf numFmtId="2" fontId="2" fillId="32" borderId="10" xfId="0" applyNumberFormat="1" applyFont="1" applyFill="1" applyBorder="1" applyAlignment="1">
      <alignment vertical="justify"/>
    </xf>
    <xf numFmtId="2" fontId="2" fillId="32" borderId="10" xfId="0" applyNumberFormat="1" applyFont="1" applyFill="1" applyBorder="1" applyAlignment="1">
      <alignment/>
    </xf>
    <xf numFmtId="0" fontId="13" fillId="32" borderId="10" xfId="0" applyFont="1" applyFill="1" applyBorder="1" applyAlignment="1">
      <alignment horizontal="center" vertical="top" wrapText="1"/>
    </xf>
    <xf numFmtId="0" fontId="0" fillId="32" borderId="0" xfId="0" applyFill="1" applyAlignment="1">
      <alignment/>
    </xf>
    <xf numFmtId="49" fontId="2" fillId="32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 wrapText="1"/>
    </xf>
    <xf numFmtId="4" fontId="2" fillId="32" borderId="10" xfId="0" applyNumberFormat="1" applyFont="1" applyFill="1" applyBorder="1" applyAlignment="1">
      <alignment/>
    </xf>
    <xf numFmtId="2" fontId="2" fillId="32" borderId="10" xfId="0" applyNumberFormat="1" applyFont="1" applyFill="1" applyBorder="1" applyAlignment="1">
      <alignment wrapText="1"/>
    </xf>
    <xf numFmtId="0" fontId="2" fillId="32" borderId="12" xfId="0" applyFont="1" applyFill="1" applyBorder="1" applyAlignment="1">
      <alignment/>
    </xf>
    <xf numFmtId="0" fontId="2" fillId="32" borderId="12" xfId="0" applyFont="1" applyFill="1" applyBorder="1" applyAlignment="1">
      <alignment wrapText="1"/>
    </xf>
    <xf numFmtId="2" fontId="2" fillId="32" borderId="12" xfId="0" applyNumberFormat="1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</cellXfs>
  <cellStyles count="55">
    <cellStyle name="Normal" xfId="0"/>
    <cellStyle name="RowLevel_0" xfId="1"/>
    <cellStyle name="RowLevel_1" xfId="3"/>
    <cellStyle name="RowLevel_2" xfId="5"/>
    <cellStyle name="RowLevel_3" xfId="7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Example " xfId="60"/>
    <cellStyle name="Тысячи_Example 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7;&#1082;&#1091;&#1097;&#1080;&#1081;%20&#1088;&#1077;&#1084;&#1086;&#1085;&#1090;%20&#1042;&#1057;&#1045;%20&#1044;&#1054;&#1052;&#104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ущий 2017"/>
      <sheetName val="Лист2"/>
    </sheetNames>
    <sheetDataSet>
      <sheetData sheetId="0">
        <row r="18">
          <cell r="B18">
            <v>91167.72</v>
          </cell>
        </row>
        <row r="69">
          <cell r="B69">
            <v>218458.33</v>
          </cell>
        </row>
        <row r="120">
          <cell r="B120">
            <v>130492.81999999996</v>
          </cell>
        </row>
        <row r="171">
          <cell r="B171">
            <v>207400.91999999998</v>
          </cell>
        </row>
        <row r="222">
          <cell r="B222">
            <v>55953.829999999994</v>
          </cell>
        </row>
        <row r="273">
          <cell r="B273">
            <v>61941.71000000001</v>
          </cell>
        </row>
        <row r="318">
          <cell r="B318">
            <v>45399.88</v>
          </cell>
        </row>
        <row r="369">
          <cell r="B369">
            <v>253402.54000000004</v>
          </cell>
        </row>
        <row r="420">
          <cell r="B420">
            <v>114285.82</v>
          </cell>
        </row>
        <row r="462">
          <cell r="B462">
            <v>108514.95</v>
          </cell>
        </row>
        <row r="513">
          <cell r="B513">
            <v>335105.93</v>
          </cell>
        </row>
        <row r="514">
          <cell r="C514">
            <v>204899.06</v>
          </cell>
        </row>
        <row r="564">
          <cell r="B564">
            <v>28750.190000000002</v>
          </cell>
        </row>
        <row r="565">
          <cell r="C565">
            <v>34862.18</v>
          </cell>
        </row>
        <row r="615">
          <cell r="B615">
            <v>92058.22</v>
          </cell>
        </row>
        <row r="616">
          <cell r="C616">
            <v>100618.04999999999</v>
          </cell>
        </row>
        <row r="666">
          <cell r="B666">
            <v>303958.73999999993</v>
          </cell>
        </row>
        <row r="667">
          <cell r="C667">
            <v>358229.64</v>
          </cell>
        </row>
        <row r="717">
          <cell r="B717">
            <v>219545.92</v>
          </cell>
        </row>
        <row r="718">
          <cell r="C718">
            <v>259944.54999999996</v>
          </cell>
        </row>
        <row r="768">
          <cell r="B768">
            <v>248004.55000000005</v>
          </cell>
        </row>
        <row r="769">
          <cell r="C769">
            <v>215429.53</v>
          </cell>
        </row>
        <row r="819">
          <cell r="B819">
            <v>228256.83000000002</v>
          </cell>
        </row>
        <row r="820">
          <cell r="C820">
            <v>363996.61</v>
          </cell>
        </row>
        <row r="862">
          <cell r="B862">
            <v>169477.56</v>
          </cell>
        </row>
        <row r="863">
          <cell r="C863">
            <v>20983.09</v>
          </cell>
        </row>
        <row r="913">
          <cell r="B913">
            <v>222358.93000000005</v>
          </cell>
        </row>
        <row r="914">
          <cell r="C914">
            <v>115140.4</v>
          </cell>
        </row>
        <row r="964">
          <cell r="B964">
            <v>191869.81000000003</v>
          </cell>
        </row>
        <row r="965">
          <cell r="C965">
            <v>59113.68000000001</v>
          </cell>
        </row>
        <row r="1015">
          <cell r="B1015">
            <v>71795.47999999998</v>
          </cell>
        </row>
        <row r="1016">
          <cell r="C1016">
            <v>13672.230000000001</v>
          </cell>
        </row>
        <row r="1066">
          <cell r="B1066">
            <v>193891.85</v>
          </cell>
        </row>
        <row r="1067">
          <cell r="C1067">
            <v>229259.64</v>
          </cell>
        </row>
        <row r="1117">
          <cell r="B1117">
            <v>27843.17</v>
          </cell>
        </row>
        <row r="1118">
          <cell r="C1118">
            <v>0</v>
          </cell>
        </row>
        <row r="1213">
          <cell r="B1213">
            <v>74309.06999999999</v>
          </cell>
        </row>
        <row r="1214">
          <cell r="C1214">
            <v>251679.59999999998</v>
          </cell>
        </row>
        <row r="1264">
          <cell r="B1264">
            <v>227406.3</v>
          </cell>
        </row>
        <row r="1265">
          <cell r="C1265">
            <v>284294.98</v>
          </cell>
        </row>
        <row r="1315">
          <cell r="B1315">
            <v>71961.49</v>
          </cell>
        </row>
        <row r="1316">
          <cell r="C1316">
            <v>36344.85</v>
          </cell>
        </row>
        <row r="1366">
          <cell r="B1366">
            <v>73408.43</v>
          </cell>
        </row>
        <row r="1367">
          <cell r="C1367">
            <v>2909.3900000000003</v>
          </cell>
        </row>
        <row r="1412">
          <cell r="B1412">
            <v>69953.73000000001</v>
          </cell>
        </row>
        <row r="1413">
          <cell r="C1413">
            <v>72200.06</v>
          </cell>
        </row>
        <row r="1463">
          <cell r="B1463">
            <v>73461.3</v>
          </cell>
        </row>
        <row r="1464">
          <cell r="C1464">
            <v>36734.079999999994</v>
          </cell>
        </row>
        <row r="1514">
          <cell r="B1514">
            <v>13447.420000000002</v>
          </cell>
        </row>
        <row r="1515">
          <cell r="C1515">
            <v>25905.2</v>
          </cell>
        </row>
        <row r="1565">
          <cell r="B1565">
            <v>8130.980000000001</v>
          </cell>
        </row>
        <row r="1616">
          <cell r="B1616">
            <v>15507.11</v>
          </cell>
        </row>
        <row r="1617">
          <cell r="C1617">
            <v>44681.58</v>
          </cell>
        </row>
        <row r="1667">
          <cell r="B1667">
            <v>7388.83</v>
          </cell>
        </row>
        <row r="1718">
          <cell r="B1718">
            <v>6225.35</v>
          </cell>
        </row>
        <row r="1719">
          <cell r="C1719">
            <v>16167.82</v>
          </cell>
        </row>
        <row r="1769">
          <cell r="B1769">
            <v>30584.229999999996</v>
          </cell>
        </row>
        <row r="1770">
          <cell r="C1770">
            <v>28947.370000000003</v>
          </cell>
        </row>
        <row r="1820">
          <cell r="B1820">
            <v>8298.63</v>
          </cell>
        </row>
        <row r="1871">
          <cell r="B1871">
            <v>279326.52</v>
          </cell>
        </row>
        <row r="1872">
          <cell r="C1872">
            <v>238585.85</v>
          </cell>
        </row>
        <row r="1922">
          <cell r="B1922">
            <v>29689.81</v>
          </cell>
        </row>
        <row r="1923">
          <cell r="C1923">
            <v>32513.32</v>
          </cell>
        </row>
        <row r="1973">
          <cell r="B1973">
            <v>44639.63</v>
          </cell>
        </row>
        <row r="1974">
          <cell r="C1974">
            <v>0</v>
          </cell>
        </row>
        <row r="2024">
          <cell r="B2024">
            <v>3523.47</v>
          </cell>
        </row>
        <row r="2075">
          <cell r="B2075">
            <v>57725.22</v>
          </cell>
        </row>
        <row r="2076">
          <cell r="C2076">
            <v>12883.999999999998</v>
          </cell>
        </row>
        <row r="2126">
          <cell r="B2126">
            <v>29816.81</v>
          </cell>
        </row>
        <row r="2127">
          <cell r="C2127">
            <v>5407.889999999999</v>
          </cell>
        </row>
        <row r="2177">
          <cell r="B2177">
            <v>72969.61</v>
          </cell>
        </row>
        <row r="2178">
          <cell r="C2178">
            <v>20048.03</v>
          </cell>
        </row>
        <row r="2228">
          <cell r="B2228">
            <v>141654.11</v>
          </cell>
        </row>
        <row r="2229">
          <cell r="C2229">
            <v>266336.51</v>
          </cell>
        </row>
        <row r="2279">
          <cell r="B2279">
            <v>79204.47</v>
          </cell>
        </row>
        <row r="2280">
          <cell r="C2280">
            <v>25968.48</v>
          </cell>
        </row>
        <row r="2330">
          <cell r="B2330">
            <v>52586.11</v>
          </cell>
        </row>
        <row r="2331">
          <cell r="C2331">
            <v>32108.65</v>
          </cell>
        </row>
        <row r="2381">
          <cell r="B2381">
            <v>73937.11</v>
          </cell>
        </row>
        <row r="2382">
          <cell r="C2382">
            <v>64844.770000000004</v>
          </cell>
        </row>
        <row r="2432">
          <cell r="B2432">
            <v>225503.91</v>
          </cell>
        </row>
        <row r="2433">
          <cell r="C2433">
            <v>12919.39</v>
          </cell>
        </row>
        <row r="2483">
          <cell r="B2483">
            <v>39378.880000000005</v>
          </cell>
        </row>
        <row r="2484">
          <cell r="C2484">
            <v>3818.2700000000004</v>
          </cell>
        </row>
        <row r="2534">
          <cell r="B2534">
            <v>91535.12</v>
          </cell>
        </row>
        <row r="2535">
          <cell r="C2535">
            <v>104518.16</v>
          </cell>
        </row>
        <row r="2585">
          <cell r="B2585">
            <v>69540.45</v>
          </cell>
        </row>
        <row r="2586">
          <cell r="C2586">
            <v>62224.060000000005</v>
          </cell>
        </row>
        <row r="2636">
          <cell r="B2636">
            <v>42468.26</v>
          </cell>
        </row>
        <row r="2637">
          <cell r="C2637">
            <v>27190.61</v>
          </cell>
        </row>
        <row r="2687">
          <cell r="B2687">
            <v>230019.81000000006</v>
          </cell>
        </row>
        <row r="2688">
          <cell r="C2688">
            <v>82018.44</v>
          </cell>
        </row>
        <row r="2738">
          <cell r="B2738">
            <v>126620.57</v>
          </cell>
        </row>
        <row r="2739">
          <cell r="C2739">
            <v>20129.32</v>
          </cell>
        </row>
        <row r="2789">
          <cell r="B2789">
            <v>123584.39</v>
          </cell>
        </row>
        <row r="2790">
          <cell r="C2790">
            <v>132912.43</v>
          </cell>
        </row>
        <row r="2841">
          <cell r="B2841">
            <v>160682.22000000003</v>
          </cell>
        </row>
        <row r="2842">
          <cell r="C2842">
            <v>117441.3</v>
          </cell>
        </row>
        <row r="2891">
          <cell r="B2891">
            <v>54950.64</v>
          </cell>
        </row>
        <row r="2892">
          <cell r="C2892">
            <v>69251.59</v>
          </cell>
        </row>
        <row r="2942">
          <cell r="B2942">
            <v>180958.93</v>
          </cell>
        </row>
        <row r="2943">
          <cell r="C2943">
            <v>32439.249999999996</v>
          </cell>
        </row>
        <row r="2993">
          <cell r="B2993">
            <v>189251.50000000003</v>
          </cell>
        </row>
        <row r="2994">
          <cell r="C2994">
            <v>42263.549999999996</v>
          </cell>
        </row>
        <row r="3044">
          <cell r="B3044">
            <v>108069.71999999997</v>
          </cell>
        </row>
        <row r="3045">
          <cell r="C3045">
            <v>23600.87</v>
          </cell>
        </row>
        <row r="3095">
          <cell r="B3095">
            <v>109411.06999999999</v>
          </cell>
        </row>
        <row r="3096">
          <cell r="C3096">
            <v>194295.74</v>
          </cell>
        </row>
        <row r="3146">
          <cell r="B3146">
            <v>50637.08999999999</v>
          </cell>
        </row>
        <row r="3147">
          <cell r="C3147">
            <v>40625.37</v>
          </cell>
        </row>
        <row r="3197">
          <cell r="B3197">
            <v>92401.97</v>
          </cell>
        </row>
        <row r="3198">
          <cell r="C3198">
            <v>72251.69</v>
          </cell>
        </row>
        <row r="3248">
          <cell r="B3248">
            <v>81083.25999999998</v>
          </cell>
        </row>
        <row r="3249">
          <cell r="C3249">
            <v>201857.34000000003</v>
          </cell>
        </row>
        <row r="3299">
          <cell r="B3299">
            <v>73266.35</v>
          </cell>
        </row>
        <row r="3300">
          <cell r="C3300">
            <v>123100.11</v>
          </cell>
        </row>
        <row r="3350">
          <cell r="B3350">
            <v>238397.13</v>
          </cell>
        </row>
        <row r="3351">
          <cell r="C3351">
            <v>240709.02000000002</v>
          </cell>
        </row>
        <row r="3401">
          <cell r="B3401">
            <v>59844.630000000005</v>
          </cell>
        </row>
        <row r="3402">
          <cell r="C3402">
            <v>33809.25</v>
          </cell>
        </row>
        <row r="3452">
          <cell r="B3452">
            <v>159646.07000000004</v>
          </cell>
        </row>
        <row r="3453">
          <cell r="C3453">
            <v>323359.3</v>
          </cell>
        </row>
        <row r="3503">
          <cell r="B3503">
            <v>238656.7</v>
          </cell>
        </row>
        <row r="3504">
          <cell r="C3504">
            <v>229626.1</v>
          </cell>
        </row>
        <row r="3554">
          <cell r="B3554">
            <v>73444.61</v>
          </cell>
        </row>
        <row r="3555">
          <cell r="C3555">
            <v>71800.04</v>
          </cell>
        </row>
        <row r="3605">
          <cell r="B3605">
            <v>73798.93999999999</v>
          </cell>
        </row>
        <row r="3606">
          <cell r="C3606">
            <v>100277.84999999999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96"/>
  <sheetViews>
    <sheetView view="pageBreakPreview" zoomScaleSheetLayoutView="100" zoomScalePageLayoutView="0" workbookViewId="0" topLeftCell="A1400">
      <selection activeCell="G1404" sqref="G1404"/>
    </sheetView>
  </sheetViews>
  <sheetFormatPr defaultColWidth="9.00390625" defaultRowHeight="12.75"/>
  <cols>
    <col min="1" max="1" width="5.625" style="0" customWidth="1"/>
    <col min="2" max="2" width="18.75390625" style="0" customWidth="1"/>
    <col min="3" max="3" width="14.125" style="0" customWidth="1"/>
    <col min="4" max="4" width="10.75390625" style="0" customWidth="1"/>
    <col min="5" max="5" width="11.00390625" style="0" customWidth="1"/>
    <col min="6" max="6" width="10.75390625" style="0" customWidth="1"/>
    <col min="7" max="7" width="15.125" style="0" customWidth="1"/>
    <col min="8" max="8" width="15.625" style="0" customWidth="1"/>
  </cols>
  <sheetData>
    <row r="1" ht="12.75">
      <c r="A1" t="s">
        <v>0</v>
      </c>
    </row>
    <row r="2" ht="12.75">
      <c r="A2" t="s">
        <v>291</v>
      </c>
    </row>
    <row r="3" ht="12.75">
      <c r="A3" t="s">
        <v>1</v>
      </c>
    </row>
    <row r="4" ht="12.75">
      <c r="A4" t="s">
        <v>416</v>
      </c>
    </row>
    <row r="6" ht="12.75">
      <c r="A6" t="s">
        <v>2</v>
      </c>
    </row>
    <row r="8" ht="12.75">
      <c r="A8" t="s">
        <v>3</v>
      </c>
    </row>
    <row r="9" ht="12.75">
      <c r="A9" t="s">
        <v>74</v>
      </c>
    </row>
    <row r="10" ht="12.75">
      <c r="A10" t="s">
        <v>4</v>
      </c>
    </row>
    <row r="11" ht="12.75">
      <c r="A11" t="s">
        <v>75</v>
      </c>
    </row>
    <row r="12" ht="12.75">
      <c r="A12" t="s">
        <v>5</v>
      </c>
    </row>
    <row r="14" ht="12.75">
      <c r="A14" t="s">
        <v>6</v>
      </c>
    </row>
    <row r="15" ht="12.75">
      <c r="A15" t="s">
        <v>7</v>
      </c>
    </row>
    <row r="17" spans="1:8" ht="12.75">
      <c r="A17" s="4" t="s">
        <v>8</v>
      </c>
      <c r="B17" s="4" t="s">
        <v>13</v>
      </c>
      <c r="C17" s="4" t="s">
        <v>9</v>
      </c>
      <c r="D17" s="4" t="s">
        <v>10</v>
      </c>
      <c r="E17" s="4" t="s">
        <v>15</v>
      </c>
      <c r="F17" s="4" t="s">
        <v>16</v>
      </c>
      <c r="G17" s="4" t="s">
        <v>9</v>
      </c>
      <c r="H17" s="4" t="s">
        <v>11</v>
      </c>
    </row>
    <row r="18" spans="1:8" ht="12.75">
      <c r="A18" s="4"/>
      <c r="B18" s="4"/>
      <c r="C18" s="4" t="s">
        <v>417</v>
      </c>
      <c r="D18" s="4" t="s">
        <v>418</v>
      </c>
      <c r="E18" s="4" t="s">
        <v>14</v>
      </c>
      <c r="F18" s="4" t="s">
        <v>17</v>
      </c>
      <c r="G18" s="4" t="s">
        <v>420</v>
      </c>
      <c r="H18" s="4" t="s">
        <v>12</v>
      </c>
    </row>
    <row r="19" spans="1:8" ht="12.75">
      <c r="A19" s="4"/>
      <c r="B19" s="4"/>
      <c r="C19" s="4"/>
      <c r="D19" s="4"/>
      <c r="E19" s="4" t="s">
        <v>419</v>
      </c>
      <c r="F19" s="4" t="s">
        <v>419</v>
      </c>
      <c r="G19" s="4"/>
      <c r="H19" s="4" t="s">
        <v>421</v>
      </c>
    </row>
    <row r="20" spans="1:8" ht="12.75">
      <c r="A20" s="4"/>
      <c r="B20" s="4"/>
      <c r="C20" s="4"/>
      <c r="D20" s="4"/>
      <c r="E20" s="4"/>
      <c r="F20" s="4"/>
      <c r="G20" s="4"/>
      <c r="H20" s="4"/>
    </row>
    <row r="21" spans="1:8" ht="22.5">
      <c r="A21" s="4">
        <v>1</v>
      </c>
      <c r="B21" s="5" t="s">
        <v>18</v>
      </c>
      <c r="C21" s="6"/>
      <c r="D21" s="6">
        <v>439604.14</v>
      </c>
      <c r="E21" s="6">
        <v>417480.08</v>
      </c>
      <c r="F21" s="6">
        <f>D21</f>
        <v>439604.14</v>
      </c>
      <c r="G21" s="6"/>
      <c r="H21" s="6">
        <f>-74915.96-4623.9-22124.06</f>
        <v>-101663.92</v>
      </c>
    </row>
    <row r="22" spans="1:8" ht="12.75">
      <c r="A22" s="4">
        <v>2</v>
      </c>
      <c r="B22" s="5" t="s">
        <v>21</v>
      </c>
      <c r="C22" s="8"/>
      <c r="D22" s="6"/>
      <c r="E22" s="6"/>
      <c r="F22" s="6"/>
      <c r="G22" s="6"/>
      <c r="H22" s="6"/>
    </row>
    <row r="23" spans="1:8" ht="12.75">
      <c r="A23" s="4">
        <v>3</v>
      </c>
      <c r="B23" s="5" t="s">
        <v>22</v>
      </c>
      <c r="C23" s="8"/>
      <c r="D23" s="6">
        <v>191279.49</v>
      </c>
      <c r="E23" s="6">
        <v>185071.83</v>
      </c>
      <c r="F23" s="6">
        <f>D23</f>
        <v>191279.49</v>
      </c>
      <c r="G23" s="6"/>
      <c r="H23" s="6">
        <f>-23540.43-1127.63-6207.66</f>
        <v>-30875.72</v>
      </c>
    </row>
    <row r="24" spans="1:8" ht="22.5">
      <c r="A24" s="4">
        <v>4</v>
      </c>
      <c r="B24" s="5" t="s">
        <v>23</v>
      </c>
      <c r="C24" s="8"/>
      <c r="D24" s="6"/>
      <c r="E24" s="6"/>
      <c r="F24" s="6"/>
      <c r="G24" s="6"/>
      <c r="H24" s="6"/>
    </row>
    <row r="25" spans="1:8" s="37" customFormat="1" ht="22.5">
      <c r="A25" s="32">
        <v>5</v>
      </c>
      <c r="B25" s="33" t="s">
        <v>24</v>
      </c>
      <c r="C25" s="34">
        <v>68520.26</v>
      </c>
      <c r="D25" s="35">
        <v>93241.32</v>
      </c>
      <c r="E25" s="35">
        <f>'[1]текущий 2017'!$B$18</f>
        <v>91167.72</v>
      </c>
      <c r="F25" s="36">
        <f>Лист3!D8</f>
        <v>113050.77</v>
      </c>
      <c r="G25" s="35">
        <f>E25-F25+C25</f>
        <v>46637.20999999999</v>
      </c>
      <c r="H25" s="35">
        <f>-24695.18+1695.25-2073.6</f>
        <v>-25073.53</v>
      </c>
    </row>
    <row r="26" spans="1:8" s="37" customFormat="1" ht="22.5">
      <c r="A26" s="32">
        <v>6</v>
      </c>
      <c r="B26" s="33" t="s">
        <v>25</v>
      </c>
      <c r="C26" s="34">
        <v>72942.67</v>
      </c>
      <c r="D26" s="35"/>
      <c r="E26" s="35">
        <v>1064</v>
      </c>
      <c r="F26" s="35"/>
      <c r="G26" s="35">
        <f>C26+E26-F26</f>
        <v>74006.67</v>
      </c>
      <c r="H26" s="35">
        <f>-8689.8+1025.28+1064</f>
        <v>-6600.5199999999995</v>
      </c>
    </row>
    <row r="27" spans="1:8" s="37" customFormat="1" ht="22.5">
      <c r="A27" s="38" t="s">
        <v>390</v>
      </c>
      <c r="B27" s="33" t="s">
        <v>392</v>
      </c>
      <c r="C27" s="34">
        <v>180204</v>
      </c>
      <c r="D27" s="35"/>
      <c r="E27" s="35"/>
      <c r="F27" s="35"/>
      <c r="G27" s="35"/>
      <c r="H27" s="35"/>
    </row>
    <row r="28" spans="1:8" s="37" customFormat="1" ht="22.5">
      <c r="A28" s="32">
        <v>7</v>
      </c>
      <c r="B28" s="33" t="s">
        <v>26</v>
      </c>
      <c r="C28" s="33">
        <f aca="true" t="shared" si="0" ref="C28:H28">C29+C30+C31+C32</f>
        <v>0</v>
      </c>
      <c r="D28" s="33">
        <f>D29+D30+D31+D32</f>
        <v>2004588.94</v>
      </c>
      <c r="E28" s="34">
        <f t="shared" si="0"/>
        <v>1937503.86</v>
      </c>
      <c r="F28" s="34">
        <f t="shared" si="0"/>
        <v>1941203.6</v>
      </c>
      <c r="G28" s="33">
        <f t="shared" si="0"/>
        <v>0</v>
      </c>
      <c r="H28" s="33">
        <f t="shared" si="0"/>
        <v>-666879.1599999999</v>
      </c>
    </row>
    <row r="29" spans="1:8" s="37" customFormat="1" ht="12.75">
      <c r="A29" s="32" t="s">
        <v>27</v>
      </c>
      <c r="B29" s="33" t="s">
        <v>28</v>
      </c>
      <c r="C29" s="33"/>
      <c r="D29" s="32">
        <v>41715.63</v>
      </c>
      <c r="E29" s="35">
        <v>38015.89</v>
      </c>
      <c r="F29" s="35">
        <f>D29</f>
        <v>41715.63</v>
      </c>
      <c r="G29" s="32"/>
      <c r="H29" s="32">
        <v>-3699.74</v>
      </c>
    </row>
    <row r="30" spans="1:8" s="37" customFormat="1" ht="33.75">
      <c r="A30" s="32" t="s">
        <v>29</v>
      </c>
      <c r="B30" s="33" t="s">
        <v>30</v>
      </c>
      <c r="C30" s="33"/>
      <c r="D30" s="32">
        <v>648711.21</v>
      </c>
      <c r="E30" s="35">
        <v>626623.6</v>
      </c>
      <c r="F30" s="35">
        <f>E30</f>
        <v>626623.6</v>
      </c>
      <c r="G30" s="32">
        <f>E30-F30</f>
        <v>0</v>
      </c>
      <c r="H30" s="32">
        <f>-112008.36-24686.69-22087.61</f>
        <v>-158782.65999999997</v>
      </c>
    </row>
    <row r="31" spans="1:8" s="37" customFormat="1" ht="22.5">
      <c r="A31" s="32" t="s">
        <v>31</v>
      </c>
      <c r="B31" s="33" t="s">
        <v>32</v>
      </c>
      <c r="C31" s="33"/>
      <c r="D31" s="32"/>
      <c r="E31" s="35"/>
      <c r="F31" s="35"/>
      <c r="G31" s="32"/>
      <c r="H31" s="32"/>
    </row>
    <row r="32" spans="1:8" s="37" customFormat="1" ht="22.5">
      <c r="A32" s="32" t="s">
        <v>33</v>
      </c>
      <c r="B32" s="33" t="s">
        <v>34</v>
      </c>
      <c r="C32" s="33"/>
      <c r="D32" s="32">
        <v>1314162.1</v>
      </c>
      <c r="E32" s="35">
        <v>1272864.37</v>
      </c>
      <c r="F32" s="35">
        <f>E32</f>
        <v>1272864.37</v>
      </c>
      <c r="G32" s="32">
        <f>E32-F32</f>
        <v>0</v>
      </c>
      <c r="H32" s="32">
        <f>-366982.33-96116.7-41297.73</f>
        <v>-504396.76</v>
      </c>
    </row>
    <row r="33" spans="1:8" s="37" customFormat="1" ht="56.25">
      <c r="A33" s="32"/>
      <c r="B33" s="39" t="s">
        <v>389</v>
      </c>
      <c r="C33" s="40">
        <v>21600</v>
      </c>
      <c r="D33" s="40">
        <v>7200</v>
      </c>
      <c r="E33" s="40">
        <v>7200</v>
      </c>
      <c r="F33" s="40"/>
      <c r="G33" s="40">
        <f>C33+E33</f>
        <v>28800</v>
      </c>
      <c r="H33" s="32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 hidden="1">
      <c r="A38" s="3"/>
      <c r="B38" s="3"/>
      <c r="C38" s="3"/>
      <c r="D38" s="3"/>
      <c r="E38" s="3"/>
      <c r="F38" s="3"/>
      <c r="G38" s="3"/>
      <c r="H38" s="3"/>
    </row>
    <row r="39" spans="1:8" ht="12.75" hidden="1">
      <c r="A39" s="3"/>
      <c r="B39" s="3"/>
      <c r="C39" s="3"/>
      <c r="D39" s="3"/>
      <c r="E39" s="3"/>
      <c r="F39" s="3"/>
      <c r="G39" s="3"/>
      <c r="H39" s="3"/>
    </row>
    <row r="40" spans="1:8" ht="98.25" customHeight="1">
      <c r="A40" s="3"/>
      <c r="B40" s="3"/>
      <c r="C40" s="3"/>
      <c r="D40" s="3"/>
      <c r="E40" s="3"/>
      <c r="F40" s="3"/>
      <c r="G40" s="3"/>
      <c r="H40" s="3"/>
    </row>
    <row r="41" ht="12.75">
      <c r="A41" t="s">
        <v>0</v>
      </c>
    </row>
    <row r="42" ht="12.75">
      <c r="A42" t="s">
        <v>291</v>
      </c>
    </row>
    <row r="43" ht="12.75">
      <c r="A43" t="s">
        <v>1</v>
      </c>
    </row>
    <row r="44" ht="12.75">
      <c r="A44" t="s">
        <v>416</v>
      </c>
    </row>
    <row r="46" ht="12.75">
      <c r="A46" t="s">
        <v>2</v>
      </c>
    </row>
    <row r="48" ht="12.75">
      <c r="A48" t="s">
        <v>35</v>
      </c>
    </row>
    <row r="49" ht="12.75">
      <c r="A49" t="s">
        <v>76</v>
      </c>
    </row>
    <row r="50" ht="12.75">
      <c r="A50" t="s">
        <v>4</v>
      </c>
    </row>
    <row r="51" ht="12.75">
      <c r="A51" t="s">
        <v>77</v>
      </c>
    </row>
    <row r="52" ht="12.75">
      <c r="A52" t="s">
        <v>5</v>
      </c>
    </row>
    <row r="54" ht="12.75">
      <c r="A54" t="s">
        <v>6</v>
      </c>
    </row>
    <row r="55" ht="12.75">
      <c r="A55" t="s">
        <v>7</v>
      </c>
    </row>
    <row r="57" spans="1:8" ht="12.75">
      <c r="A57" s="4" t="s">
        <v>8</v>
      </c>
      <c r="B57" s="4" t="s">
        <v>13</v>
      </c>
      <c r="C57" s="4" t="s">
        <v>9</v>
      </c>
      <c r="D57" s="4" t="s">
        <v>10</v>
      </c>
      <c r="E57" s="4" t="s">
        <v>15</v>
      </c>
      <c r="F57" s="4" t="s">
        <v>16</v>
      </c>
      <c r="G57" s="4" t="s">
        <v>9</v>
      </c>
      <c r="H57" s="4" t="s">
        <v>11</v>
      </c>
    </row>
    <row r="58" spans="1:8" ht="12.75">
      <c r="A58" s="4"/>
      <c r="B58" s="4"/>
      <c r="C58" s="4" t="s">
        <v>417</v>
      </c>
      <c r="D58" s="4" t="s">
        <v>418</v>
      </c>
      <c r="E58" s="4" t="s">
        <v>14</v>
      </c>
      <c r="F58" s="4" t="s">
        <v>17</v>
      </c>
      <c r="G58" s="4" t="s">
        <v>420</v>
      </c>
      <c r="H58" s="4" t="s">
        <v>12</v>
      </c>
    </row>
    <row r="59" spans="1:8" ht="12.75">
      <c r="A59" s="4"/>
      <c r="B59" s="4"/>
      <c r="C59" s="4"/>
      <c r="D59" s="4"/>
      <c r="E59" s="4" t="s">
        <v>419</v>
      </c>
      <c r="F59" s="4" t="s">
        <v>419</v>
      </c>
      <c r="G59" s="4"/>
      <c r="H59" s="4" t="s">
        <v>421</v>
      </c>
    </row>
    <row r="60" spans="1:8" ht="12.75">
      <c r="A60" s="4"/>
      <c r="B60" s="4"/>
      <c r="C60" s="4"/>
      <c r="D60" s="4"/>
      <c r="E60" s="4"/>
      <c r="F60" s="4"/>
      <c r="G60" s="4"/>
      <c r="H60" s="4"/>
    </row>
    <row r="61" spans="1:8" ht="22.5">
      <c r="A61" s="4">
        <v>1</v>
      </c>
      <c r="B61" s="5" t="s">
        <v>18</v>
      </c>
      <c r="C61" s="6"/>
      <c r="D61" s="6">
        <v>313784.76</v>
      </c>
      <c r="E61" s="6">
        <v>306288</v>
      </c>
      <c r="F61" s="6">
        <f>D61</f>
        <v>313784.76</v>
      </c>
      <c r="G61" s="6"/>
      <c r="H61" s="6">
        <f>-21513.63-7333.42-7496.76</f>
        <v>-36343.810000000005</v>
      </c>
    </row>
    <row r="62" spans="1:8" ht="12.75">
      <c r="A62" s="4">
        <v>2</v>
      </c>
      <c r="B62" s="5" t="s">
        <v>21</v>
      </c>
      <c r="C62" s="8"/>
      <c r="D62" s="6"/>
      <c r="E62" s="6"/>
      <c r="F62" s="6"/>
      <c r="G62" s="6"/>
      <c r="H62" s="6"/>
    </row>
    <row r="63" spans="1:8" s="37" customFormat="1" ht="12.75">
      <c r="A63" s="32">
        <v>3</v>
      </c>
      <c r="B63" s="33" t="s">
        <v>22</v>
      </c>
      <c r="C63" s="34"/>
      <c r="D63" s="35">
        <v>134943.72</v>
      </c>
      <c r="E63" s="35">
        <v>132911.58</v>
      </c>
      <c r="F63" s="35">
        <f>D63</f>
        <v>134943.72</v>
      </c>
      <c r="G63" s="35"/>
      <c r="H63" s="35">
        <f>-6204.85-2903.26-2967.86</f>
        <v>-12075.970000000001</v>
      </c>
    </row>
    <row r="64" spans="1:8" s="37" customFormat="1" ht="22.5">
      <c r="A64" s="32">
        <v>4</v>
      </c>
      <c r="B64" s="33" t="s">
        <v>23</v>
      </c>
      <c r="C64" s="34"/>
      <c r="D64" s="35"/>
      <c r="E64" s="35"/>
      <c r="F64" s="35"/>
      <c r="G64" s="35"/>
      <c r="H64" s="35"/>
    </row>
    <row r="65" spans="1:8" s="37" customFormat="1" ht="22.5">
      <c r="A65" s="32">
        <v>5</v>
      </c>
      <c r="B65" s="33" t="s">
        <v>24</v>
      </c>
      <c r="C65" s="34">
        <v>89324.81</v>
      </c>
      <c r="D65" s="35">
        <v>188197.13</v>
      </c>
      <c r="E65" s="35">
        <f>'[1]текущий 2017'!$B$69</f>
        <v>218458.33</v>
      </c>
      <c r="F65" s="35">
        <f>Лист3!D44</f>
        <v>151106.68</v>
      </c>
      <c r="G65" s="35">
        <f>E65-F65+C65</f>
        <v>156676.46</v>
      </c>
      <c r="H65" s="35">
        <f>-8385.17-14591.97+3455.45</f>
        <v>-19521.69</v>
      </c>
    </row>
    <row r="66" spans="1:8" s="37" customFormat="1" ht="22.5">
      <c r="A66" s="32">
        <v>6</v>
      </c>
      <c r="B66" s="33" t="s">
        <v>25</v>
      </c>
      <c r="C66" s="34">
        <v>-327495.11</v>
      </c>
      <c r="D66" s="35"/>
      <c r="E66" s="35">
        <v>1828.18</v>
      </c>
      <c r="F66" s="35"/>
      <c r="G66" s="35">
        <f>C66+E66-F66</f>
        <v>-325666.93</v>
      </c>
      <c r="H66" s="35">
        <f>-5739.56-970.56+1828.18</f>
        <v>-4881.9400000000005</v>
      </c>
    </row>
    <row r="67" spans="1:8" s="37" customFormat="1" ht="22.5">
      <c r="A67" s="32">
        <v>7</v>
      </c>
      <c r="B67" s="33" t="s">
        <v>26</v>
      </c>
      <c r="C67" s="33">
        <f aca="true" t="shared" si="1" ref="C67:H67">C68+C69+C70+C71</f>
        <v>0</v>
      </c>
      <c r="D67" s="33">
        <f t="shared" si="1"/>
        <v>1376224.8900000001</v>
      </c>
      <c r="E67" s="34">
        <f t="shared" si="1"/>
        <v>1365051.27</v>
      </c>
      <c r="F67" s="34">
        <f t="shared" si="1"/>
        <v>1367209.23</v>
      </c>
      <c r="G67" s="33">
        <f t="shared" si="1"/>
        <v>0</v>
      </c>
      <c r="H67" s="33">
        <f t="shared" si="1"/>
        <v>-359054.2100000001</v>
      </c>
    </row>
    <row r="68" spans="1:8" s="37" customFormat="1" ht="12.75">
      <c r="A68" s="32" t="s">
        <v>27</v>
      </c>
      <c r="B68" s="33" t="s">
        <v>28</v>
      </c>
      <c r="C68" s="33"/>
      <c r="D68" s="32">
        <v>30474.59</v>
      </c>
      <c r="E68" s="35">
        <v>28316.63</v>
      </c>
      <c r="F68" s="35">
        <f>D68</f>
        <v>30474.59</v>
      </c>
      <c r="G68" s="32"/>
      <c r="H68" s="32">
        <v>-2157.96</v>
      </c>
    </row>
    <row r="69" spans="1:8" s="37" customFormat="1" ht="33.75">
      <c r="A69" s="32" t="s">
        <v>29</v>
      </c>
      <c r="B69" s="33" t="s">
        <v>30</v>
      </c>
      <c r="C69" s="33"/>
      <c r="D69" s="32">
        <v>469059.31</v>
      </c>
      <c r="E69" s="35">
        <v>467022.93</v>
      </c>
      <c r="F69" s="35">
        <f>E69</f>
        <v>467022.93</v>
      </c>
      <c r="G69" s="32">
        <f>E69-F69</f>
        <v>0</v>
      </c>
      <c r="H69" s="32">
        <f>-62718.03-23847.74-2036.38</f>
        <v>-88602.15000000001</v>
      </c>
    </row>
    <row r="70" spans="1:8" s="37" customFormat="1" ht="14.25" customHeight="1">
      <c r="A70" s="32" t="s">
        <v>31</v>
      </c>
      <c r="B70" s="33" t="s">
        <v>32</v>
      </c>
      <c r="C70" s="33"/>
      <c r="D70" s="32"/>
      <c r="E70" s="35"/>
      <c r="F70" s="35"/>
      <c r="G70" s="32"/>
      <c r="H70" s="32"/>
    </row>
    <row r="71" spans="1:8" s="37" customFormat="1" ht="12" customHeight="1">
      <c r="A71" s="32" t="s">
        <v>33</v>
      </c>
      <c r="B71" s="33" t="s">
        <v>34</v>
      </c>
      <c r="C71" s="33"/>
      <c r="D71" s="32">
        <v>876690.99</v>
      </c>
      <c r="E71" s="35">
        <v>869711.71</v>
      </c>
      <c r="F71" s="35">
        <f>E71</f>
        <v>869711.71</v>
      </c>
      <c r="G71" s="32">
        <f>E71-F71</f>
        <v>0</v>
      </c>
      <c r="H71" s="32">
        <f>-223766.32-37548.5-6979.28</f>
        <v>-268294.10000000003</v>
      </c>
    </row>
    <row r="72" spans="1:8" s="37" customFormat="1" ht="69" customHeight="1">
      <c r="A72" s="32"/>
      <c r="B72" s="39" t="s">
        <v>389</v>
      </c>
      <c r="C72" s="35">
        <v>21600</v>
      </c>
      <c r="D72" s="35">
        <v>7200</v>
      </c>
      <c r="E72" s="35">
        <v>7200</v>
      </c>
      <c r="F72" s="35"/>
      <c r="G72" s="35">
        <f>C72+E72</f>
        <v>28800</v>
      </c>
      <c r="H72" s="32"/>
    </row>
    <row r="73" spans="1:8" ht="12.75">
      <c r="A73" s="4"/>
      <c r="B73" s="4"/>
      <c r="C73" s="4"/>
      <c r="D73" s="4"/>
      <c r="E73" s="4"/>
      <c r="F73" s="4"/>
      <c r="G73" s="4"/>
      <c r="H73" s="4"/>
    </row>
    <row r="74" ht="12.75" hidden="1"/>
    <row r="75" ht="12.75" hidden="1"/>
    <row r="76" spans="2:8" ht="164.25" customHeight="1">
      <c r="B76" s="45"/>
      <c r="C76" s="45"/>
      <c r="D76" s="45"/>
      <c r="E76" s="45"/>
      <c r="F76" s="45"/>
      <c r="G76" s="45"/>
      <c r="H76" s="45"/>
    </row>
    <row r="77" ht="12.75">
      <c r="A77" t="s">
        <v>0</v>
      </c>
    </row>
    <row r="78" ht="12.75">
      <c r="A78" t="s">
        <v>291</v>
      </c>
    </row>
    <row r="79" ht="12.75">
      <c r="A79" t="s">
        <v>1</v>
      </c>
    </row>
    <row r="80" ht="12.75">
      <c r="A80" t="s">
        <v>416</v>
      </c>
    </row>
    <row r="82" ht="12.75">
      <c r="A82" t="s">
        <v>2</v>
      </c>
    </row>
    <row r="84" ht="12.75">
      <c r="A84" t="s">
        <v>36</v>
      </c>
    </row>
    <row r="85" ht="12.75">
      <c r="A85" t="s">
        <v>78</v>
      </c>
    </row>
    <row r="86" ht="12.75">
      <c r="A86" t="s">
        <v>4</v>
      </c>
    </row>
    <row r="87" ht="12.75">
      <c r="A87" t="s">
        <v>79</v>
      </c>
    </row>
    <row r="88" ht="12.75">
      <c r="A88" t="s">
        <v>5</v>
      </c>
    </row>
    <row r="90" ht="12.75">
      <c r="A90" t="s">
        <v>6</v>
      </c>
    </row>
    <row r="91" ht="12.75">
      <c r="A91" t="s">
        <v>7</v>
      </c>
    </row>
    <row r="93" spans="1:8" ht="12.75">
      <c r="A93" s="4" t="s">
        <v>8</v>
      </c>
      <c r="B93" s="4" t="s">
        <v>13</v>
      </c>
      <c r="C93" s="4" t="s">
        <v>9</v>
      </c>
      <c r="D93" s="4" t="s">
        <v>10</v>
      </c>
      <c r="E93" s="4" t="s">
        <v>15</v>
      </c>
      <c r="F93" s="4" t="s">
        <v>16</v>
      </c>
      <c r="G93" s="4" t="s">
        <v>9</v>
      </c>
      <c r="H93" s="4" t="s">
        <v>11</v>
      </c>
    </row>
    <row r="94" spans="1:8" ht="12.75">
      <c r="A94" s="4"/>
      <c r="B94" s="4"/>
      <c r="C94" s="4" t="s">
        <v>417</v>
      </c>
      <c r="D94" s="4" t="s">
        <v>418</v>
      </c>
      <c r="E94" s="4" t="s">
        <v>14</v>
      </c>
      <c r="F94" s="4" t="s">
        <v>17</v>
      </c>
      <c r="G94" s="4" t="s">
        <v>420</v>
      </c>
      <c r="H94" s="4" t="s">
        <v>12</v>
      </c>
    </row>
    <row r="95" spans="1:8" ht="12.75">
      <c r="A95" s="4"/>
      <c r="B95" s="4"/>
      <c r="C95" s="4"/>
      <c r="D95" s="4"/>
      <c r="E95" s="4" t="s">
        <v>419</v>
      </c>
      <c r="F95" s="4" t="s">
        <v>419</v>
      </c>
      <c r="G95" s="4"/>
      <c r="H95" s="4" t="s">
        <v>421</v>
      </c>
    </row>
    <row r="96" spans="1:8" ht="12.75">
      <c r="A96" s="4"/>
      <c r="B96" s="4"/>
      <c r="C96" s="4"/>
      <c r="D96" s="4"/>
      <c r="E96" s="4"/>
      <c r="F96" s="4"/>
      <c r="G96" s="4"/>
      <c r="H96" s="4"/>
    </row>
    <row r="97" spans="1:8" ht="22.5">
      <c r="A97" s="4">
        <v>1</v>
      </c>
      <c r="B97" s="5" t="s">
        <v>18</v>
      </c>
      <c r="C97" s="6"/>
      <c r="D97" s="6">
        <v>235633.61</v>
      </c>
      <c r="E97" s="6">
        <v>229475.15</v>
      </c>
      <c r="F97" s="6">
        <f>D97</f>
        <v>235633.61</v>
      </c>
      <c r="G97" s="6"/>
      <c r="H97" s="6">
        <f>-72716.13+5591.77-13256.96</f>
        <v>-80381.32</v>
      </c>
    </row>
    <row r="98" spans="1:8" ht="12.75">
      <c r="A98" s="4">
        <v>2</v>
      </c>
      <c r="B98" s="5" t="s">
        <v>21</v>
      </c>
      <c r="C98" s="8"/>
      <c r="D98" s="6"/>
      <c r="E98" s="6"/>
      <c r="F98" s="6"/>
      <c r="G98" s="6"/>
      <c r="H98" s="6"/>
    </row>
    <row r="99" spans="1:8" ht="12.75">
      <c r="A99" s="4">
        <v>3</v>
      </c>
      <c r="B99" s="5" t="s">
        <v>22</v>
      </c>
      <c r="C99" s="8"/>
      <c r="D99" s="6">
        <v>98487.09</v>
      </c>
      <c r="E99" s="6">
        <v>95179.3</v>
      </c>
      <c r="F99" s="6">
        <f>D99</f>
        <v>98487.09</v>
      </c>
      <c r="G99" s="6"/>
      <c r="H99" s="6">
        <f>-22483.98+4087.97-5896.63</f>
        <v>-24292.64</v>
      </c>
    </row>
    <row r="100" spans="1:8" s="37" customFormat="1" ht="22.5">
      <c r="A100" s="32">
        <v>4</v>
      </c>
      <c r="B100" s="33" t="s">
        <v>23</v>
      </c>
      <c r="C100" s="34"/>
      <c r="D100" s="35"/>
      <c r="E100" s="35"/>
      <c r="F100" s="35"/>
      <c r="G100" s="35"/>
      <c r="H100" s="35"/>
    </row>
    <row r="101" spans="1:8" s="37" customFormat="1" ht="22.5">
      <c r="A101" s="32">
        <v>5</v>
      </c>
      <c r="B101" s="33" t="s">
        <v>24</v>
      </c>
      <c r="C101" s="34">
        <v>111991.23</v>
      </c>
      <c r="D101" s="35">
        <v>52953.5</v>
      </c>
      <c r="E101" s="35">
        <f>'[1]текущий 2017'!$B$120</f>
        <v>130492.81999999996</v>
      </c>
      <c r="F101" s="35">
        <f>Лист3!D83</f>
        <v>254899.79</v>
      </c>
      <c r="G101" s="35">
        <f>E101-F101+C101</f>
        <v>-12415.740000000049</v>
      </c>
      <c r="H101" s="35">
        <f>-21418.51+715.41+2416.15</f>
        <v>-18286.949999999997</v>
      </c>
    </row>
    <row r="102" spans="1:8" s="37" customFormat="1" ht="22.5">
      <c r="A102" s="32">
        <v>6</v>
      </c>
      <c r="B102" s="33" t="s">
        <v>25</v>
      </c>
      <c r="C102" s="34">
        <v>75144.64</v>
      </c>
      <c r="D102" s="35"/>
      <c r="E102" s="35"/>
      <c r="F102" s="35">
        <v>75144.64</v>
      </c>
      <c r="G102" s="35">
        <v>0</v>
      </c>
      <c r="H102" s="35"/>
    </row>
    <row r="103" spans="1:8" s="37" customFormat="1" ht="22.5">
      <c r="A103" s="38" t="s">
        <v>395</v>
      </c>
      <c r="B103" s="33" t="s">
        <v>397</v>
      </c>
      <c r="C103" s="34">
        <v>93530</v>
      </c>
      <c r="D103" s="35"/>
      <c r="E103" s="35"/>
      <c r="F103" s="35"/>
      <c r="G103" s="35"/>
      <c r="H103" s="35"/>
    </row>
    <row r="104" spans="1:8" s="37" customFormat="1" ht="22.5">
      <c r="A104" s="32">
        <v>7</v>
      </c>
      <c r="B104" s="33" t="s">
        <v>26</v>
      </c>
      <c r="C104" s="33">
        <f aca="true" t="shared" si="2" ref="C104:H104">C105+C106+C107+C108</f>
        <v>0</v>
      </c>
      <c r="D104" s="33">
        <f t="shared" si="2"/>
        <v>1330091.12</v>
      </c>
      <c r="E104" s="34">
        <f t="shared" si="2"/>
        <v>1283755.6600000001</v>
      </c>
      <c r="F104" s="34">
        <f t="shared" si="2"/>
        <v>1287861.88</v>
      </c>
      <c r="G104" s="33">
        <f t="shared" si="2"/>
        <v>0</v>
      </c>
      <c r="H104" s="33">
        <f t="shared" si="2"/>
        <v>-537041.97</v>
      </c>
    </row>
    <row r="105" spans="1:8" s="37" customFormat="1" ht="12.75">
      <c r="A105" s="32" t="s">
        <v>27</v>
      </c>
      <c r="B105" s="33" t="s">
        <v>28</v>
      </c>
      <c r="C105" s="33"/>
      <c r="D105" s="32">
        <v>53312.74</v>
      </c>
      <c r="E105" s="35">
        <v>49206.52</v>
      </c>
      <c r="F105" s="35">
        <f>D105</f>
        <v>53312.74</v>
      </c>
      <c r="G105" s="32"/>
      <c r="H105" s="32">
        <v>-4106.22</v>
      </c>
    </row>
    <row r="106" spans="1:8" s="37" customFormat="1" ht="33.75">
      <c r="A106" s="32" t="s">
        <v>29</v>
      </c>
      <c r="B106" s="33" t="s">
        <v>30</v>
      </c>
      <c r="C106" s="33"/>
      <c r="D106" s="32">
        <v>258110.8</v>
      </c>
      <c r="E106" s="35">
        <v>246283.24</v>
      </c>
      <c r="F106" s="35">
        <f>E106</f>
        <v>246283.24</v>
      </c>
      <c r="G106" s="32">
        <f>E106-F106</f>
        <v>0</v>
      </c>
      <c r="H106" s="32">
        <f>-76713.59+7240.32-11827.56</f>
        <v>-81300.82999999999</v>
      </c>
    </row>
    <row r="107" spans="1:8" s="37" customFormat="1" ht="22.5">
      <c r="A107" s="32" t="s">
        <v>31</v>
      </c>
      <c r="B107" s="33" t="s">
        <v>32</v>
      </c>
      <c r="C107" s="33"/>
      <c r="D107" s="32">
        <v>360839.45</v>
      </c>
      <c r="E107" s="35">
        <v>347834.38</v>
      </c>
      <c r="F107" s="35">
        <f>E107</f>
        <v>347834.38</v>
      </c>
      <c r="G107" s="32"/>
      <c r="H107" s="32">
        <f>-54971.02-25196.03-13005.07</f>
        <v>-93172.12</v>
      </c>
    </row>
    <row r="108" spans="1:8" s="37" customFormat="1" ht="22.5">
      <c r="A108" s="32" t="s">
        <v>33</v>
      </c>
      <c r="B108" s="33" t="s">
        <v>34</v>
      </c>
      <c r="C108" s="33"/>
      <c r="D108" s="32">
        <v>657828.13</v>
      </c>
      <c r="E108" s="35">
        <v>640431.52</v>
      </c>
      <c r="F108" s="35">
        <f>E108</f>
        <v>640431.52</v>
      </c>
      <c r="G108" s="32">
        <f>E108-F108</f>
        <v>0</v>
      </c>
      <c r="H108" s="32">
        <f>-301142.93-39923.26-17396.61</f>
        <v>-358462.8</v>
      </c>
    </row>
    <row r="109" spans="1:8" s="37" customFormat="1" ht="56.25">
      <c r="A109" s="32"/>
      <c r="B109" s="41" t="s">
        <v>389</v>
      </c>
      <c r="C109" s="35">
        <v>21600</v>
      </c>
      <c r="D109" s="35">
        <v>7200</v>
      </c>
      <c r="E109" s="35">
        <v>7200</v>
      </c>
      <c r="F109" s="35"/>
      <c r="G109" s="35">
        <f>C109+E109</f>
        <v>28800</v>
      </c>
      <c r="H109" s="35"/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4" ht="12.75" hidden="1"/>
    <row r="115" ht="12.75" hidden="1"/>
    <row r="116" ht="99.75" customHeight="1"/>
    <row r="117" ht="12.75">
      <c r="A117" t="s">
        <v>0</v>
      </c>
    </row>
    <row r="118" ht="12.75">
      <c r="A118" t="s">
        <v>291</v>
      </c>
    </row>
    <row r="119" ht="12.75">
      <c r="A119" t="s">
        <v>1</v>
      </c>
    </row>
    <row r="120" ht="12.75">
      <c r="A120" t="s">
        <v>416</v>
      </c>
    </row>
    <row r="122" ht="12.75">
      <c r="A122" t="s">
        <v>2</v>
      </c>
    </row>
    <row r="124" ht="12.75">
      <c r="A124" t="s">
        <v>37</v>
      </c>
    </row>
    <row r="125" ht="12.75">
      <c r="A125" t="s">
        <v>80</v>
      </c>
    </row>
    <row r="126" ht="12.75">
      <c r="A126" t="s">
        <v>4</v>
      </c>
    </row>
    <row r="127" ht="12.75">
      <c r="A127" t="s">
        <v>81</v>
      </c>
    </row>
    <row r="128" ht="12.75">
      <c r="A128" t="s">
        <v>5</v>
      </c>
    </row>
    <row r="130" ht="12.75">
      <c r="A130" t="s">
        <v>6</v>
      </c>
    </row>
    <row r="131" ht="12.75">
      <c r="A131" t="s">
        <v>7</v>
      </c>
    </row>
    <row r="133" spans="1:8" ht="12.75">
      <c r="A133" s="4" t="s">
        <v>8</v>
      </c>
      <c r="B133" s="4" t="s">
        <v>13</v>
      </c>
      <c r="C133" s="4" t="s">
        <v>9</v>
      </c>
      <c r="D133" s="4" t="s">
        <v>10</v>
      </c>
      <c r="E133" s="4" t="s">
        <v>15</v>
      </c>
      <c r="F133" s="4" t="s">
        <v>16</v>
      </c>
      <c r="G133" s="4" t="s">
        <v>9</v>
      </c>
      <c r="H133" s="4" t="s">
        <v>11</v>
      </c>
    </row>
    <row r="134" spans="1:8" ht="12.75">
      <c r="A134" s="4"/>
      <c r="B134" s="4"/>
      <c r="C134" s="4" t="s">
        <v>417</v>
      </c>
      <c r="D134" s="4" t="s">
        <v>418</v>
      </c>
      <c r="E134" s="4" t="s">
        <v>14</v>
      </c>
      <c r="F134" s="4" t="s">
        <v>17</v>
      </c>
      <c r="G134" s="4" t="s">
        <v>420</v>
      </c>
      <c r="H134" s="4" t="s">
        <v>12</v>
      </c>
    </row>
    <row r="135" spans="1:8" ht="12.75">
      <c r="A135" s="4"/>
      <c r="B135" s="4"/>
      <c r="C135" s="4"/>
      <c r="D135" s="4"/>
      <c r="E135" s="4" t="s">
        <v>419</v>
      </c>
      <c r="F135" s="4" t="s">
        <v>419</v>
      </c>
      <c r="G135" s="4"/>
      <c r="H135" s="4" t="s">
        <v>421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22.5">
      <c r="A137" s="4">
        <v>1</v>
      </c>
      <c r="B137" s="5" t="s">
        <v>18</v>
      </c>
      <c r="C137" s="6"/>
      <c r="D137" s="6">
        <v>299858.85</v>
      </c>
      <c r="E137" s="6">
        <v>292136.22</v>
      </c>
      <c r="F137" s="6">
        <f>D137</f>
        <v>299858.85</v>
      </c>
      <c r="G137" s="6"/>
      <c r="H137" s="6">
        <f>-56587.2+28453.85-7722.63</f>
        <v>-35855.979999999996</v>
      </c>
    </row>
    <row r="138" spans="1:8" ht="12.75">
      <c r="A138" s="4">
        <v>2</v>
      </c>
      <c r="B138" s="5" t="s">
        <v>21</v>
      </c>
      <c r="C138" s="8"/>
      <c r="D138" s="6"/>
      <c r="E138" s="6"/>
      <c r="F138" s="6"/>
      <c r="G138" s="6"/>
      <c r="H138" s="6"/>
    </row>
    <row r="139" spans="1:8" ht="12.75">
      <c r="A139" s="4">
        <v>3</v>
      </c>
      <c r="B139" s="5" t="s">
        <v>22</v>
      </c>
      <c r="C139" s="8"/>
      <c r="D139" s="6">
        <v>131799.84</v>
      </c>
      <c r="E139" s="6">
        <v>128244.16</v>
      </c>
      <c r="F139" s="6">
        <f>D139</f>
        <v>131799.84</v>
      </c>
      <c r="G139" s="6"/>
      <c r="H139" s="6">
        <f>-15476.03+12046.13-3555.68</f>
        <v>-6985.580000000002</v>
      </c>
    </row>
    <row r="140" spans="1:8" s="37" customFormat="1" ht="22.5">
      <c r="A140" s="32">
        <v>4</v>
      </c>
      <c r="B140" s="33" t="s">
        <v>23</v>
      </c>
      <c r="C140" s="34"/>
      <c r="D140" s="35"/>
      <c r="E140" s="35"/>
      <c r="F140" s="35"/>
      <c r="G140" s="35"/>
      <c r="H140" s="35"/>
    </row>
    <row r="141" spans="1:8" s="37" customFormat="1" ht="22.5">
      <c r="A141" s="32">
        <v>5</v>
      </c>
      <c r="B141" s="33" t="s">
        <v>24</v>
      </c>
      <c r="C141" s="34">
        <v>127225.49</v>
      </c>
      <c r="D141" s="35">
        <v>154776.21</v>
      </c>
      <c r="E141" s="35">
        <f>'[1]текущий 2017'!$B$171</f>
        <v>207400.91999999998</v>
      </c>
      <c r="F141" s="35">
        <f>Лист3!D118</f>
        <v>193580.38</v>
      </c>
      <c r="G141" s="35">
        <f>C141+E141-F141</f>
        <v>141046.02999999997</v>
      </c>
      <c r="H141" s="35">
        <f>-17796.03+7258.92-7361.42</f>
        <v>-17898.53</v>
      </c>
    </row>
    <row r="142" spans="1:8" s="37" customFormat="1" ht="23.25" customHeight="1">
      <c r="A142" s="32">
        <v>6</v>
      </c>
      <c r="B142" s="33" t="s">
        <v>25</v>
      </c>
      <c r="C142" s="34">
        <v>21870.51</v>
      </c>
      <c r="D142" s="35"/>
      <c r="E142" s="35"/>
      <c r="F142" s="35"/>
      <c r="G142" s="35">
        <v>21870.51</v>
      </c>
      <c r="H142" s="35"/>
    </row>
    <row r="143" spans="1:8" s="37" customFormat="1" ht="22.5">
      <c r="A143" s="38" t="s">
        <v>395</v>
      </c>
      <c r="B143" s="33" t="s">
        <v>397</v>
      </c>
      <c r="C143" s="34">
        <v>124547</v>
      </c>
      <c r="D143" s="35"/>
      <c r="E143" s="35"/>
      <c r="F143" s="35"/>
      <c r="G143" s="35"/>
      <c r="H143" s="35"/>
    </row>
    <row r="144" spans="1:8" s="37" customFormat="1" ht="22.5">
      <c r="A144" s="32">
        <v>7</v>
      </c>
      <c r="B144" s="33" t="s">
        <v>26</v>
      </c>
      <c r="C144" s="33">
        <f aca="true" t="shared" si="3" ref="C144:H144">C145+C146+C147+C148</f>
        <v>0</v>
      </c>
      <c r="D144" s="33">
        <f t="shared" si="3"/>
        <v>1577347.82</v>
      </c>
      <c r="E144" s="34">
        <f>E145+E146+E147+E148</f>
        <v>1528698.58</v>
      </c>
      <c r="F144" s="34">
        <f>F145+F146+F147+F148</f>
        <v>1532182.81</v>
      </c>
      <c r="G144" s="33">
        <f t="shared" si="3"/>
        <v>0</v>
      </c>
      <c r="H144" s="33">
        <f t="shared" si="3"/>
        <v>-515905.04</v>
      </c>
    </row>
    <row r="145" spans="1:8" s="37" customFormat="1" ht="12.75">
      <c r="A145" s="32" t="s">
        <v>27</v>
      </c>
      <c r="B145" s="33" t="s">
        <v>28</v>
      </c>
      <c r="C145" s="33"/>
      <c r="D145" s="32">
        <v>38702.98</v>
      </c>
      <c r="E145" s="35">
        <v>35218.75</v>
      </c>
      <c r="F145" s="35">
        <f>D145</f>
        <v>38702.98</v>
      </c>
      <c r="G145" s="32"/>
      <c r="H145" s="32">
        <v>-3484.23</v>
      </c>
    </row>
    <row r="146" spans="1:8" s="37" customFormat="1" ht="33.75">
      <c r="A146" s="32" t="s">
        <v>29</v>
      </c>
      <c r="B146" s="33" t="s">
        <v>30</v>
      </c>
      <c r="C146" s="33"/>
      <c r="D146" s="32">
        <v>544108.67</v>
      </c>
      <c r="E146" s="35">
        <v>532119.44</v>
      </c>
      <c r="F146" s="35">
        <f>E146</f>
        <v>532119.44</v>
      </c>
      <c r="G146" s="32"/>
      <c r="H146" s="32">
        <f>-157752.19+34219.44-11989.23</f>
        <v>-135521.98</v>
      </c>
    </row>
    <row r="147" spans="1:8" s="37" customFormat="1" ht="22.5">
      <c r="A147" s="32" t="s">
        <v>31</v>
      </c>
      <c r="B147" s="33" t="s">
        <v>32</v>
      </c>
      <c r="C147" s="33"/>
      <c r="D147" s="32"/>
      <c r="E147" s="35"/>
      <c r="F147" s="35"/>
      <c r="G147" s="32"/>
      <c r="H147" s="32"/>
    </row>
    <row r="148" spans="1:8" s="37" customFormat="1" ht="22.5">
      <c r="A148" s="32" t="s">
        <v>33</v>
      </c>
      <c r="B148" s="33" t="s">
        <v>34</v>
      </c>
      <c r="C148" s="33"/>
      <c r="D148" s="32">
        <v>994536.17</v>
      </c>
      <c r="E148" s="35">
        <v>961360.39</v>
      </c>
      <c r="F148" s="35">
        <f>E148</f>
        <v>961360.39</v>
      </c>
      <c r="G148" s="32">
        <f>E148-F148</f>
        <v>0</v>
      </c>
      <c r="H148" s="32">
        <f>-345662.47+1939.42-33175.78</f>
        <v>-376898.82999999996</v>
      </c>
    </row>
    <row r="149" spans="1:8" s="37" customFormat="1" ht="54" customHeight="1">
      <c r="A149" s="42"/>
      <c r="B149" s="43" t="s">
        <v>389</v>
      </c>
      <c r="C149" s="44">
        <v>21600</v>
      </c>
      <c r="D149" s="44">
        <v>7200</v>
      </c>
      <c r="E149" s="44">
        <v>7200</v>
      </c>
      <c r="F149" s="44"/>
      <c r="G149" s="44">
        <f>C149+E149</f>
        <v>28800</v>
      </c>
      <c r="H149" s="44"/>
    </row>
    <row r="150" spans="1:8" ht="80.25" customHeight="1">
      <c r="A150" s="30"/>
      <c r="B150" s="30"/>
      <c r="C150" s="30"/>
      <c r="D150" s="30"/>
      <c r="E150" s="30"/>
      <c r="F150" s="30"/>
      <c r="G150" s="30"/>
      <c r="H150" s="30"/>
    </row>
    <row r="151" spans="1:8" ht="81" customHeight="1">
      <c r="A151" s="29"/>
      <c r="B151" s="29"/>
      <c r="C151" s="29"/>
      <c r="D151" s="29"/>
      <c r="E151" s="29"/>
      <c r="F151" s="29"/>
      <c r="G151" s="29"/>
      <c r="H151" s="29"/>
    </row>
    <row r="152" ht="12.75">
      <c r="A152" t="s">
        <v>0</v>
      </c>
    </row>
    <row r="153" ht="12.75">
      <c r="A153" t="s">
        <v>291</v>
      </c>
    </row>
    <row r="154" ht="12.75">
      <c r="A154" t="s">
        <v>1</v>
      </c>
    </row>
    <row r="155" ht="12.75">
      <c r="A155" t="s">
        <v>416</v>
      </c>
    </row>
    <row r="157" ht="12.75">
      <c r="A157" t="s">
        <v>2</v>
      </c>
    </row>
    <row r="159" ht="12.75">
      <c r="A159" t="s">
        <v>38</v>
      </c>
    </row>
    <row r="160" ht="12.75">
      <c r="A160" t="s">
        <v>82</v>
      </c>
    </row>
    <row r="161" ht="12.75">
      <c r="A161" t="s">
        <v>4</v>
      </c>
    </row>
    <row r="162" ht="12.75">
      <c r="A162" t="s">
        <v>83</v>
      </c>
    </row>
    <row r="163" ht="12.75">
      <c r="A163" t="s">
        <v>5</v>
      </c>
    </row>
    <row r="165" ht="12.75">
      <c r="A165" t="s">
        <v>6</v>
      </c>
    </row>
    <row r="166" ht="12.75">
      <c r="A166" t="s">
        <v>7</v>
      </c>
    </row>
    <row r="168" spans="1:8" ht="12.75">
      <c r="A168" s="4" t="s">
        <v>8</v>
      </c>
      <c r="B168" s="4" t="s">
        <v>13</v>
      </c>
      <c r="C168" s="4" t="s">
        <v>9</v>
      </c>
      <c r="D168" s="4" t="s">
        <v>10</v>
      </c>
      <c r="E168" s="4" t="s">
        <v>15</v>
      </c>
      <c r="F168" s="4" t="s">
        <v>16</v>
      </c>
      <c r="G168" s="4" t="s">
        <v>9</v>
      </c>
      <c r="H168" s="4" t="s">
        <v>11</v>
      </c>
    </row>
    <row r="169" spans="1:8" ht="12.75">
      <c r="A169" s="4"/>
      <c r="B169" s="4"/>
      <c r="C169" s="4" t="s">
        <v>417</v>
      </c>
      <c r="D169" s="4" t="s">
        <v>418</v>
      </c>
      <c r="E169" s="4" t="s">
        <v>14</v>
      </c>
      <c r="F169" s="4" t="s">
        <v>17</v>
      </c>
      <c r="G169" s="4" t="s">
        <v>420</v>
      </c>
      <c r="H169" s="4" t="s">
        <v>12</v>
      </c>
    </row>
    <row r="170" spans="1:8" ht="12.75">
      <c r="A170" s="4"/>
      <c r="B170" s="4"/>
      <c r="C170" s="4"/>
      <c r="D170" s="4"/>
      <c r="E170" s="4" t="s">
        <v>419</v>
      </c>
      <c r="F170" s="4" t="s">
        <v>419</v>
      </c>
      <c r="G170" s="4"/>
      <c r="H170" s="4" t="s">
        <v>421</v>
      </c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22.5">
      <c r="A172" s="4">
        <v>1</v>
      </c>
      <c r="B172" s="5" t="s">
        <v>18</v>
      </c>
      <c r="C172" s="6"/>
      <c r="D172" s="6">
        <v>252059.23</v>
      </c>
      <c r="E172" s="6">
        <v>243061.8</v>
      </c>
      <c r="F172" s="6">
        <f>D172</f>
        <v>252059.23</v>
      </c>
      <c r="G172" s="6"/>
      <c r="H172" s="6">
        <f>-46929.83+17039.1-8997.43</f>
        <v>-38888.16</v>
      </c>
    </row>
    <row r="173" spans="1:8" ht="12.75">
      <c r="A173" s="4">
        <v>2</v>
      </c>
      <c r="B173" s="5" t="s">
        <v>21</v>
      </c>
      <c r="C173" s="8"/>
      <c r="D173" s="6"/>
      <c r="E173" s="6"/>
      <c r="F173" s="6"/>
      <c r="G173" s="6"/>
      <c r="H173" s="6"/>
    </row>
    <row r="174" spans="1:8" ht="12.75">
      <c r="A174" s="4">
        <v>3</v>
      </c>
      <c r="B174" s="5" t="s">
        <v>22</v>
      </c>
      <c r="C174" s="8"/>
      <c r="D174" s="6">
        <v>101785.38</v>
      </c>
      <c r="E174" s="6">
        <v>95785.38</v>
      </c>
      <c r="F174" s="6">
        <f>D174</f>
        <v>101785.38</v>
      </c>
      <c r="G174" s="6"/>
      <c r="H174" s="6">
        <f>-13945.75+7542.52-6135.56</f>
        <v>-12538.79</v>
      </c>
    </row>
    <row r="175" spans="1:8" s="37" customFormat="1" ht="22.5">
      <c r="A175" s="32">
        <v>4</v>
      </c>
      <c r="B175" s="33" t="s">
        <v>23</v>
      </c>
      <c r="C175" s="34"/>
      <c r="D175" s="35"/>
      <c r="E175" s="35"/>
      <c r="F175" s="35"/>
      <c r="G175" s="35"/>
      <c r="H175" s="35"/>
    </row>
    <row r="176" spans="1:8" s="37" customFormat="1" ht="22.5">
      <c r="A176" s="32">
        <v>5</v>
      </c>
      <c r="B176" s="33" t="s">
        <v>24</v>
      </c>
      <c r="C176" s="34">
        <v>-8884.86</v>
      </c>
      <c r="D176" s="35">
        <v>54726.96</v>
      </c>
      <c r="E176" s="35">
        <f>'[1]текущий 2017'!$B$222</f>
        <v>55953.829999999994</v>
      </c>
      <c r="F176" s="35">
        <f>Лист3!D153</f>
        <v>31510.15</v>
      </c>
      <c r="G176" s="35">
        <f>E176-F176+C176</f>
        <v>15558.819999999992</v>
      </c>
      <c r="H176" s="35">
        <f>-16834.62+1226.87</f>
        <v>-15607.75</v>
      </c>
    </row>
    <row r="177" spans="1:8" s="37" customFormat="1" ht="22.5">
      <c r="A177" s="32">
        <v>6</v>
      </c>
      <c r="B177" s="33" t="s">
        <v>25</v>
      </c>
      <c r="C177" s="34">
        <v>-128665.81</v>
      </c>
      <c r="D177" s="35"/>
      <c r="E177" s="35"/>
      <c r="F177" s="35"/>
      <c r="G177" s="35">
        <v>-128665.81</v>
      </c>
      <c r="H177" s="35">
        <v>899.69</v>
      </c>
    </row>
    <row r="178" spans="1:8" s="37" customFormat="1" ht="22.5">
      <c r="A178" s="38" t="s">
        <v>395</v>
      </c>
      <c r="B178" s="33" t="s">
        <v>397</v>
      </c>
      <c r="C178" s="34">
        <v>-394056</v>
      </c>
      <c r="D178" s="35"/>
      <c r="E178" s="35"/>
      <c r="F178" s="35"/>
      <c r="G178" s="35"/>
      <c r="H178" s="35"/>
    </row>
    <row r="179" spans="1:8" s="37" customFormat="1" ht="22.5">
      <c r="A179" s="32">
        <v>7</v>
      </c>
      <c r="B179" s="33" t="s">
        <v>26</v>
      </c>
      <c r="C179" s="33">
        <f aca="true" t="shared" si="4" ref="C179:H179">C180+C181+C182+C183</f>
        <v>0</v>
      </c>
      <c r="D179" s="33">
        <f t="shared" si="4"/>
        <v>1181030.96</v>
      </c>
      <c r="E179" s="34">
        <f t="shared" si="4"/>
        <v>1166899.48</v>
      </c>
      <c r="F179" s="34">
        <f t="shared" si="4"/>
        <v>1169040.1</v>
      </c>
      <c r="G179" s="33">
        <f t="shared" si="4"/>
        <v>0</v>
      </c>
      <c r="H179" s="33">
        <f t="shared" si="4"/>
        <v>-407290.04999999993</v>
      </c>
    </row>
    <row r="180" spans="1:8" s="37" customFormat="1" ht="12.75">
      <c r="A180" s="32" t="s">
        <v>27</v>
      </c>
      <c r="B180" s="33" t="s">
        <v>28</v>
      </c>
      <c r="C180" s="33"/>
      <c r="D180" s="32">
        <v>43383.42</v>
      </c>
      <c r="E180" s="35">
        <v>41242.8</v>
      </c>
      <c r="F180" s="35">
        <f>D180</f>
        <v>43383.42</v>
      </c>
      <c r="G180" s="32"/>
      <c r="H180" s="32">
        <v>-2140.62</v>
      </c>
    </row>
    <row r="181" spans="1:8" s="37" customFormat="1" ht="33.75">
      <c r="A181" s="32" t="s">
        <v>29</v>
      </c>
      <c r="B181" s="33" t="s">
        <v>30</v>
      </c>
      <c r="C181" s="33"/>
      <c r="D181" s="32">
        <v>200187.22</v>
      </c>
      <c r="E181" s="35">
        <v>200187.22</v>
      </c>
      <c r="F181" s="35">
        <f>E181</f>
        <v>200187.22</v>
      </c>
      <c r="G181" s="32">
        <f>E181-F181</f>
        <v>0</v>
      </c>
      <c r="H181" s="32">
        <f>-57866.39+6303.42-24839.73</f>
        <v>-76402.7</v>
      </c>
    </row>
    <row r="182" spans="1:8" s="37" customFormat="1" ht="22.5">
      <c r="A182" s="32" t="s">
        <v>31</v>
      </c>
      <c r="B182" s="33" t="s">
        <v>32</v>
      </c>
      <c r="C182" s="33"/>
      <c r="D182" s="32">
        <v>387367.37</v>
      </c>
      <c r="E182" s="35">
        <v>380362.11</v>
      </c>
      <c r="F182" s="35">
        <f>E182</f>
        <v>380362.11</v>
      </c>
      <c r="G182" s="32"/>
      <c r="H182" s="32">
        <f>-134868.61+3261.66-7005.26</f>
        <v>-138612.21</v>
      </c>
    </row>
    <row r="183" spans="1:8" s="37" customFormat="1" ht="22.5">
      <c r="A183" s="32" t="s">
        <v>33</v>
      </c>
      <c r="B183" s="33" t="s">
        <v>34</v>
      </c>
      <c r="C183" s="33"/>
      <c r="D183" s="32">
        <v>550092.95</v>
      </c>
      <c r="E183" s="35">
        <v>545107.35</v>
      </c>
      <c r="F183" s="35">
        <f>E183</f>
        <v>545107.35</v>
      </c>
      <c r="G183" s="32">
        <f>E183-F183</f>
        <v>0</v>
      </c>
      <c r="H183" s="32">
        <f>-184695.61+1575.49-7014.4</f>
        <v>-190134.52</v>
      </c>
    </row>
    <row r="184" spans="1:8" s="37" customFormat="1" ht="56.25">
      <c r="A184" s="32"/>
      <c r="B184" s="39" t="s">
        <v>389</v>
      </c>
      <c r="C184" s="35">
        <v>10800</v>
      </c>
      <c r="D184" s="35">
        <v>3600</v>
      </c>
      <c r="E184" s="35">
        <v>3600</v>
      </c>
      <c r="F184" s="35"/>
      <c r="G184" s="35">
        <f>C184+E184</f>
        <v>14400</v>
      </c>
      <c r="H184" s="35"/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ht="12.75" hidden="1"/>
    <row r="187" ht="12.75" hidden="1"/>
    <row r="188" ht="12.75" hidden="1"/>
    <row r="189" ht="12.75" hidden="1"/>
    <row r="190" ht="12.75" hidden="1"/>
    <row r="191" ht="54.75" customHeight="1"/>
    <row r="192" ht="12.75">
      <c r="A192" t="s">
        <v>0</v>
      </c>
    </row>
    <row r="193" ht="12.75">
      <c r="A193" t="s">
        <v>291</v>
      </c>
    </row>
    <row r="194" ht="12.75">
      <c r="A194" t="s">
        <v>1</v>
      </c>
    </row>
    <row r="195" ht="12.75">
      <c r="A195" t="s">
        <v>416</v>
      </c>
    </row>
    <row r="197" ht="12.75">
      <c r="A197" t="s">
        <v>2</v>
      </c>
    </row>
    <row r="199" ht="12.75">
      <c r="A199" t="s">
        <v>39</v>
      </c>
    </row>
    <row r="200" ht="12.75">
      <c r="A200" t="s">
        <v>84</v>
      </c>
    </row>
    <row r="201" ht="12.75">
      <c r="A201" t="s">
        <v>4</v>
      </c>
    </row>
    <row r="202" ht="12.75">
      <c r="A202" t="s">
        <v>85</v>
      </c>
    </row>
    <row r="203" ht="12.75">
      <c r="A203" t="s">
        <v>5</v>
      </c>
    </row>
    <row r="205" ht="12.75">
      <c r="A205" t="s">
        <v>6</v>
      </c>
    </row>
    <row r="206" ht="12.75">
      <c r="A206" t="s">
        <v>7</v>
      </c>
    </row>
    <row r="208" spans="1:8" ht="12.75">
      <c r="A208" s="4" t="s">
        <v>8</v>
      </c>
      <c r="B208" s="4" t="s">
        <v>13</v>
      </c>
      <c r="C208" s="4" t="s">
        <v>9</v>
      </c>
      <c r="D208" s="4" t="s">
        <v>10</v>
      </c>
      <c r="E208" s="4" t="s">
        <v>15</v>
      </c>
      <c r="F208" s="4" t="s">
        <v>16</v>
      </c>
      <c r="G208" s="4" t="s">
        <v>9</v>
      </c>
      <c r="H208" s="4" t="s">
        <v>11</v>
      </c>
    </row>
    <row r="209" spans="1:8" ht="12.75">
      <c r="A209" s="4"/>
      <c r="B209" s="4"/>
      <c r="C209" s="4" t="s">
        <v>417</v>
      </c>
      <c r="D209" s="4" t="s">
        <v>418</v>
      </c>
      <c r="E209" s="4" t="s">
        <v>14</v>
      </c>
      <c r="F209" s="4" t="s">
        <v>17</v>
      </c>
      <c r="G209" s="4" t="s">
        <v>420</v>
      </c>
      <c r="H209" s="4" t="s">
        <v>12</v>
      </c>
    </row>
    <row r="210" spans="1:8" ht="12.75">
      <c r="A210" s="4"/>
      <c r="B210" s="4"/>
      <c r="C210" s="4"/>
      <c r="D210" s="4"/>
      <c r="E210" s="4" t="s">
        <v>419</v>
      </c>
      <c r="F210" s="4" t="s">
        <v>388</v>
      </c>
      <c r="G210" s="4"/>
      <c r="H210" s="4" t="s">
        <v>421</v>
      </c>
    </row>
    <row r="211" spans="1:8" ht="12.75">
      <c r="A211" s="4"/>
      <c r="B211" s="4"/>
      <c r="C211" s="4"/>
      <c r="D211" s="4"/>
      <c r="E211" s="4"/>
      <c r="F211" s="4"/>
      <c r="G211" s="4"/>
      <c r="H211" s="4"/>
    </row>
    <row r="212" spans="1:8" ht="22.5">
      <c r="A212" s="4">
        <v>1</v>
      </c>
      <c r="B212" s="5" t="s">
        <v>18</v>
      </c>
      <c r="C212" s="6"/>
      <c r="D212" s="6">
        <v>271760.49</v>
      </c>
      <c r="E212" s="6">
        <v>268576.61</v>
      </c>
      <c r="F212" s="6">
        <f>D212</f>
        <v>271760.49</v>
      </c>
      <c r="G212" s="6"/>
      <c r="H212" s="6">
        <f>-35499.55-5626.13-3183.88</f>
        <v>-44309.56</v>
      </c>
    </row>
    <row r="213" spans="1:8" ht="12.75">
      <c r="A213" s="4">
        <v>2</v>
      </c>
      <c r="B213" s="5" t="s">
        <v>21</v>
      </c>
      <c r="C213" s="8"/>
      <c r="D213" s="6"/>
      <c r="E213" s="6"/>
      <c r="F213" s="6"/>
      <c r="G213" s="6"/>
      <c r="H213" s="6"/>
    </row>
    <row r="214" spans="1:8" ht="12.75">
      <c r="A214" s="4">
        <v>3</v>
      </c>
      <c r="B214" s="5" t="s">
        <v>22</v>
      </c>
      <c r="C214" s="8"/>
      <c r="D214" s="6">
        <v>110153.19</v>
      </c>
      <c r="E214" s="6">
        <v>106603.6</v>
      </c>
      <c r="F214" s="6">
        <f>D214</f>
        <v>110153.19</v>
      </c>
      <c r="G214" s="6"/>
      <c r="H214" s="6">
        <f>-9879.08-1976.22-8450.41</f>
        <v>-20305.71</v>
      </c>
    </row>
    <row r="215" spans="1:8" s="37" customFormat="1" ht="22.5">
      <c r="A215" s="32">
        <v>4</v>
      </c>
      <c r="B215" s="33" t="s">
        <v>23</v>
      </c>
      <c r="C215" s="34"/>
      <c r="D215" s="35"/>
      <c r="E215" s="35"/>
      <c r="F215" s="35"/>
      <c r="G215" s="35"/>
      <c r="H215" s="35"/>
    </row>
    <row r="216" spans="1:8" s="37" customFormat="1" ht="22.5">
      <c r="A216" s="32">
        <v>5</v>
      </c>
      <c r="B216" s="33" t="s">
        <v>24</v>
      </c>
      <c r="C216" s="34">
        <v>210588.11</v>
      </c>
      <c r="D216" s="35">
        <v>59225.88</v>
      </c>
      <c r="E216" s="35">
        <f>'[1]текущий 2017'!$B$273</f>
        <v>61941.71000000001</v>
      </c>
      <c r="F216" s="35">
        <f>Лист3!D191</f>
        <v>10993.93</v>
      </c>
      <c r="G216" s="35">
        <f>C216+E216-F216</f>
        <v>261535.89</v>
      </c>
      <c r="H216" s="35">
        <f>-14241.26+2715.83</f>
        <v>-11525.43</v>
      </c>
    </row>
    <row r="217" spans="1:8" s="37" customFormat="1" ht="22.5">
      <c r="A217" s="32">
        <v>6</v>
      </c>
      <c r="B217" s="33" t="s">
        <v>25</v>
      </c>
      <c r="C217" s="34">
        <v>0</v>
      </c>
      <c r="D217" s="35"/>
      <c r="E217" s="35"/>
      <c r="F217" s="35">
        <v>0</v>
      </c>
      <c r="G217" s="35">
        <f>C217-F217</f>
        <v>0</v>
      </c>
      <c r="H217" s="35"/>
    </row>
    <row r="218" spans="1:8" s="37" customFormat="1" ht="22.5">
      <c r="A218" s="38" t="s">
        <v>395</v>
      </c>
      <c r="B218" s="33" t="s">
        <v>397</v>
      </c>
      <c r="C218" s="34">
        <v>103680</v>
      </c>
      <c r="D218" s="35"/>
      <c r="E218" s="35"/>
      <c r="F218" s="35"/>
      <c r="G218" s="35"/>
      <c r="H218" s="35"/>
    </row>
    <row r="219" spans="1:8" s="37" customFormat="1" ht="22.5">
      <c r="A219" s="32">
        <v>7</v>
      </c>
      <c r="B219" s="33" t="s">
        <v>26</v>
      </c>
      <c r="C219" s="33">
        <f aca="true" t="shared" si="5" ref="C219:H219">C220+C221+C222+C223</f>
        <v>0</v>
      </c>
      <c r="D219" s="33">
        <f t="shared" si="5"/>
        <v>1172847.01</v>
      </c>
      <c r="E219" s="34">
        <f t="shared" si="5"/>
        <v>1152964.56</v>
      </c>
      <c r="F219" s="34">
        <f t="shared" si="5"/>
        <v>1153903.95</v>
      </c>
      <c r="G219" s="33">
        <f t="shared" si="5"/>
        <v>0</v>
      </c>
      <c r="H219" s="33">
        <f t="shared" si="5"/>
        <v>-355566.29</v>
      </c>
    </row>
    <row r="220" spans="1:8" s="37" customFormat="1" ht="12.75">
      <c r="A220" s="32" t="s">
        <v>27</v>
      </c>
      <c r="B220" s="33" t="s">
        <v>28</v>
      </c>
      <c r="C220" s="33"/>
      <c r="D220" s="32">
        <v>35318.68</v>
      </c>
      <c r="E220" s="35">
        <v>34379.29</v>
      </c>
      <c r="F220" s="35">
        <f>D220</f>
        <v>35318.68</v>
      </c>
      <c r="G220" s="32"/>
      <c r="H220" s="32">
        <v>-939.39</v>
      </c>
    </row>
    <row r="221" spans="1:8" s="37" customFormat="1" ht="33.75">
      <c r="A221" s="32" t="s">
        <v>29</v>
      </c>
      <c r="B221" s="33" t="s">
        <v>30</v>
      </c>
      <c r="C221" s="33"/>
      <c r="D221" s="32">
        <v>181200.16</v>
      </c>
      <c r="E221" s="35">
        <v>178007.72</v>
      </c>
      <c r="F221" s="35">
        <f>E221</f>
        <v>178007.72</v>
      </c>
      <c r="G221" s="32"/>
      <c r="H221" s="32">
        <f>-11833.5-2149.41-8807.56</f>
        <v>-22790.47</v>
      </c>
    </row>
    <row r="222" spans="1:8" s="37" customFormat="1" ht="22.5">
      <c r="A222" s="32" t="s">
        <v>31</v>
      </c>
      <c r="B222" s="33" t="s">
        <v>32</v>
      </c>
      <c r="C222" s="33"/>
      <c r="D222" s="32">
        <v>306464.11</v>
      </c>
      <c r="E222" s="35">
        <v>301445.31</v>
      </c>
      <c r="F222" s="35">
        <f>E222</f>
        <v>301445.31</v>
      </c>
      <c r="G222" s="32"/>
      <c r="H222" s="32">
        <f>-24409.77+877.64-5018.8</f>
        <v>-28550.93</v>
      </c>
    </row>
    <row r="223" spans="1:8" s="37" customFormat="1" ht="22.5">
      <c r="A223" s="32" t="s">
        <v>33</v>
      </c>
      <c r="B223" s="33" t="s">
        <v>34</v>
      </c>
      <c r="C223" s="33"/>
      <c r="D223" s="32">
        <v>649864.06</v>
      </c>
      <c r="E223" s="35">
        <v>639132.24</v>
      </c>
      <c r="F223" s="35">
        <f>E223</f>
        <v>639132.24</v>
      </c>
      <c r="G223" s="32">
        <f>E223-F223</f>
        <v>0</v>
      </c>
      <c r="H223" s="32">
        <f>-250068.99-15948.33-37268.18</f>
        <v>-303285.5</v>
      </c>
    </row>
    <row r="224" spans="1:8" s="37" customFormat="1" ht="56.25">
      <c r="A224" s="32"/>
      <c r="B224" s="39" t="s">
        <v>389</v>
      </c>
      <c r="C224" s="35">
        <v>21600</v>
      </c>
      <c r="D224" s="35">
        <v>7200</v>
      </c>
      <c r="E224" s="35">
        <v>7200</v>
      </c>
      <c r="F224" s="35"/>
      <c r="G224" s="35">
        <f>C224+E224</f>
        <v>28800</v>
      </c>
      <c r="H224" s="35"/>
    </row>
    <row r="225" spans="1:8" ht="12.75">
      <c r="A225" s="4"/>
      <c r="B225" s="4"/>
      <c r="C225" s="4"/>
      <c r="D225" s="4"/>
      <c r="E225" s="4"/>
      <c r="F225" s="4"/>
      <c r="G225" s="4"/>
      <c r="H225" s="4"/>
    </row>
    <row r="227" ht="12.75" hidden="1"/>
    <row r="228" ht="12.75" hidden="1"/>
    <row r="229" ht="128.25" customHeight="1"/>
    <row r="230" ht="12.75">
      <c r="A230" t="s">
        <v>0</v>
      </c>
    </row>
    <row r="231" ht="12.75">
      <c r="A231" t="s">
        <v>291</v>
      </c>
    </row>
    <row r="232" ht="12.75">
      <c r="A232" t="s">
        <v>1</v>
      </c>
    </row>
    <row r="233" ht="12.75">
      <c r="A233" t="s">
        <v>416</v>
      </c>
    </row>
    <row r="235" ht="12.75">
      <c r="A235" t="s">
        <v>2</v>
      </c>
    </row>
    <row r="237" ht="12.75">
      <c r="A237" t="s">
        <v>40</v>
      </c>
    </row>
    <row r="238" ht="12.75">
      <c r="A238" t="s">
        <v>86</v>
      </c>
    </row>
    <row r="239" ht="12.75">
      <c r="A239" t="s">
        <v>4</v>
      </c>
    </row>
    <row r="240" ht="12.75">
      <c r="A240" t="s">
        <v>87</v>
      </c>
    </row>
    <row r="241" ht="12.75">
      <c r="A241" t="s">
        <v>5</v>
      </c>
    </row>
    <row r="243" ht="12.75">
      <c r="A243" t="s">
        <v>6</v>
      </c>
    </row>
    <row r="244" ht="12.75">
      <c r="A244" t="s">
        <v>7</v>
      </c>
    </row>
    <row r="246" spans="1:8" ht="12.75">
      <c r="A246" s="4" t="s">
        <v>8</v>
      </c>
      <c r="B246" s="4" t="s">
        <v>13</v>
      </c>
      <c r="C246" s="4" t="s">
        <v>9</v>
      </c>
      <c r="D246" s="4" t="s">
        <v>10</v>
      </c>
      <c r="E246" s="4" t="s">
        <v>15</v>
      </c>
      <c r="F246" s="4" t="s">
        <v>16</v>
      </c>
      <c r="G246" s="4" t="s">
        <v>9</v>
      </c>
      <c r="H246" s="4" t="s">
        <v>11</v>
      </c>
    </row>
    <row r="247" spans="1:8" ht="12.75">
      <c r="A247" s="4"/>
      <c r="B247" s="4"/>
      <c r="C247" s="4" t="s">
        <v>417</v>
      </c>
      <c r="D247" s="4" t="s">
        <v>418</v>
      </c>
      <c r="E247" s="4" t="s">
        <v>14</v>
      </c>
      <c r="F247" s="4" t="s">
        <v>17</v>
      </c>
      <c r="G247" s="4" t="s">
        <v>420</v>
      </c>
      <c r="H247" s="4" t="s">
        <v>12</v>
      </c>
    </row>
    <row r="248" spans="1:8" ht="12.75">
      <c r="A248" s="4"/>
      <c r="B248" s="4"/>
      <c r="C248" s="4"/>
      <c r="D248" s="4"/>
      <c r="E248" s="4" t="s">
        <v>419</v>
      </c>
      <c r="F248" s="4" t="s">
        <v>419</v>
      </c>
      <c r="G248" s="4"/>
      <c r="H248" s="4" t="s">
        <v>421</v>
      </c>
    </row>
    <row r="249" spans="1:8" ht="12.75">
      <c r="A249" s="4"/>
      <c r="B249" s="4"/>
      <c r="C249" s="4"/>
      <c r="D249" s="4"/>
      <c r="E249" s="4"/>
      <c r="F249" s="4"/>
      <c r="G249" s="4"/>
      <c r="H249" s="4"/>
    </row>
    <row r="250" spans="1:8" ht="22.5">
      <c r="A250" s="4">
        <v>1</v>
      </c>
      <c r="B250" s="5" t="s">
        <v>18</v>
      </c>
      <c r="C250" s="6"/>
      <c r="D250" s="6">
        <v>207489.89</v>
      </c>
      <c r="E250" s="6">
        <v>197933.6</v>
      </c>
      <c r="F250" s="6">
        <f>D250</f>
        <v>207489.89</v>
      </c>
      <c r="G250" s="6"/>
      <c r="H250" s="6">
        <f>-26981.07-7043.04-9556.29</f>
        <v>-43580.4</v>
      </c>
    </row>
    <row r="251" spans="1:8" ht="12.75">
      <c r="A251" s="4">
        <v>2</v>
      </c>
      <c r="B251" s="5" t="s">
        <v>21</v>
      </c>
      <c r="C251" s="8"/>
      <c r="D251" s="6"/>
      <c r="E251" s="6"/>
      <c r="F251" s="6"/>
      <c r="G251" s="6"/>
      <c r="H251" s="6"/>
    </row>
    <row r="252" spans="1:8" ht="12.75">
      <c r="A252" s="4">
        <v>3</v>
      </c>
      <c r="B252" s="5" t="s">
        <v>22</v>
      </c>
      <c r="C252" s="8"/>
      <c r="D252" s="6">
        <v>84347.43</v>
      </c>
      <c r="E252" s="6">
        <v>83159.75</v>
      </c>
      <c r="F252" s="6">
        <f>D252</f>
        <v>84347.43</v>
      </c>
      <c r="G252" s="6"/>
      <c r="H252" s="6">
        <f>-7077.03-1454.52-1187.68</f>
        <v>-9719.23</v>
      </c>
    </row>
    <row r="253" spans="1:8" s="37" customFormat="1" ht="22.5">
      <c r="A253" s="32">
        <v>4</v>
      </c>
      <c r="B253" s="33" t="s">
        <v>23</v>
      </c>
      <c r="C253" s="34"/>
      <c r="D253" s="35"/>
      <c r="E253" s="35"/>
      <c r="F253" s="35"/>
      <c r="G253" s="35"/>
      <c r="H253" s="35"/>
    </row>
    <row r="254" spans="1:8" s="37" customFormat="1" ht="22.5">
      <c r="A254" s="32">
        <v>5</v>
      </c>
      <c r="B254" s="33" t="s">
        <v>24</v>
      </c>
      <c r="C254" s="34">
        <v>50573.78</v>
      </c>
      <c r="D254" s="35">
        <v>45350.76</v>
      </c>
      <c r="E254" s="35">
        <f>'[1]текущий 2017'!$B$318</f>
        <v>45399.88</v>
      </c>
      <c r="F254" s="35">
        <f>Лист3!D228</f>
        <v>103547.95</v>
      </c>
      <c r="G254" s="35">
        <f>C254+E254-F254</f>
        <v>-7574.289999999994</v>
      </c>
      <c r="H254" s="35">
        <f>-9892.71-912.95+49.12</f>
        <v>-10756.539999999999</v>
      </c>
    </row>
    <row r="255" spans="1:8" s="37" customFormat="1" ht="22.5">
      <c r="A255" s="32">
        <v>6</v>
      </c>
      <c r="B255" s="33" t="s">
        <v>25</v>
      </c>
      <c r="C255" s="34">
        <v>49390.96</v>
      </c>
      <c r="D255" s="35"/>
      <c r="E255" s="35"/>
      <c r="F255" s="35"/>
      <c r="G255" s="35">
        <v>49390.96</v>
      </c>
      <c r="H255" s="35">
        <v>-922</v>
      </c>
    </row>
    <row r="256" spans="1:8" ht="21" customHeight="1">
      <c r="A256" s="24" t="s">
        <v>395</v>
      </c>
      <c r="B256" s="5" t="s">
        <v>397</v>
      </c>
      <c r="C256" s="8">
        <v>77115</v>
      </c>
      <c r="D256" s="6"/>
      <c r="E256" s="6"/>
      <c r="F256" s="6"/>
      <c r="G256" s="6"/>
      <c r="H256" s="6"/>
    </row>
    <row r="257" spans="1:8" ht="22.5">
      <c r="A257" s="4">
        <v>7</v>
      </c>
      <c r="B257" s="5" t="s">
        <v>26</v>
      </c>
      <c r="C257" s="5">
        <f aca="true" t="shared" si="6" ref="C257:H257">C258+C259+C260+C261</f>
        <v>0</v>
      </c>
      <c r="D257" s="5">
        <f t="shared" si="6"/>
        <v>882531.64</v>
      </c>
      <c r="E257" s="8">
        <f t="shared" si="6"/>
        <v>825062.2</v>
      </c>
      <c r="F257" s="8">
        <f t="shared" si="6"/>
        <v>826706.8400000001</v>
      </c>
      <c r="G257" s="5">
        <f t="shared" si="6"/>
        <v>0</v>
      </c>
      <c r="H257" s="5">
        <f t="shared" si="6"/>
        <v>-260951.86999999997</v>
      </c>
    </row>
    <row r="258" spans="1:8" ht="20.25" customHeight="1">
      <c r="A258" s="4" t="s">
        <v>27</v>
      </c>
      <c r="B258" s="5" t="s">
        <v>28</v>
      </c>
      <c r="C258" s="5"/>
      <c r="D258" s="4">
        <v>31652.85</v>
      </c>
      <c r="E258" s="6">
        <v>30008.21</v>
      </c>
      <c r="F258" s="6">
        <f>D258</f>
        <v>31652.85</v>
      </c>
      <c r="G258" s="4"/>
      <c r="H258" s="4">
        <v>-1644.64</v>
      </c>
    </row>
    <row r="259" spans="1:8" ht="33.75">
      <c r="A259" s="4" t="s">
        <v>29</v>
      </c>
      <c r="B259" s="5" t="s">
        <v>30</v>
      </c>
      <c r="C259" s="5"/>
      <c r="D259" s="4">
        <v>124114.33</v>
      </c>
      <c r="E259" s="6">
        <v>113363.02</v>
      </c>
      <c r="F259" s="6">
        <f>E259</f>
        <v>113363.02</v>
      </c>
      <c r="G259" s="4">
        <f>E259-F259</f>
        <v>0</v>
      </c>
      <c r="H259" s="4">
        <f>-12299.37+1554.73-29248.69</f>
        <v>-39993.33</v>
      </c>
    </row>
    <row r="260" spans="1:8" ht="22.5">
      <c r="A260" s="4" t="s">
        <v>31</v>
      </c>
      <c r="B260" s="5" t="s">
        <v>32</v>
      </c>
      <c r="C260" s="5"/>
      <c r="D260" s="4">
        <v>228932.33</v>
      </c>
      <c r="E260" s="6">
        <v>226847.26</v>
      </c>
      <c r="F260" s="6">
        <f>E260</f>
        <v>226847.26</v>
      </c>
      <c r="G260" s="4"/>
      <c r="H260" s="4">
        <f>-30151.53+12043.48-2085.07</f>
        <v>-20193.12</v>
      </c>
    </row>
    <row r="261" spans="1:8" ht="22.5">
      <c r="A261" s="4" t="s">
        <v>33</v>
      </c>
      <c r="B261" s="5" t="s">
        <v>34</v>
      </c>
      <c r="C261" s="5"/>
      <c r="D261" s="4">
        <v>497832.13</v>
      </c>
      <c r="E261" s="6">
        <v>454843.71</v>
      </c>
      <c r="F261" s="6">
        <f>E261</f>
        <v>454843.71</v>
      </c>
      <c r="G261" s="4">
        <f>E261-F261</f>
        <v>0</v>
      </c>
      <c r="H261" s="4">
        <f>-168836.15-17273.05-13011.58</f>
        <v>-199120.77999999997</v>
      </c>
    </row>
    <row r="262" spans="1:8" ht="56.25">
      <c r="A262" s="4"/>
      <c r="B262" s="23" t="s">
        <v>389</v>
      </c>
      <c r="C262" s="6">
        <v>10800</v>
      </c>
      <c r="D262" s="6">
        <v>3600</v>
      </c>
      <c r="E262" s="6">
        <v>3600</v>
      </c>
      <c r="F262" s="6"/>
      <c r="G262" s="6">
        <f>C262+E262</f>
        <v>14400</v>
      </c>
      <c r="H262" s="6"/>
    </row>
    <row r="263" spans="1:8" ht="12.75">
      <c r="A263" s="4"/>
      <c r="B263" s="4"/>
      <c r="C263" s="4"/>
      <c r="D263" s="4"/>
      <c r="E263" s="4"/>
      <c r="F263" s="4"/>
      <c r="G263" s="4"/>
      <c r="H263" s="4"/>
    </row>
    <row r="267" ht="12.75" hidden="1"/>
    <row r="268" ht="12.75" hidden="1"/>
    <row r="269" ht="97.5" customHeight="1"/>
    <row r="270" ht="12.75">
      <c r="A270" t="s">
        <v>0</v>
      </c>
    </row>
    <row r="271" ht="12.75">
      <c r="A271" t="s">
        <v>291</v>
      </c>
    </row>
    <row r="272" ht="12.75">
      <c r="A272" t="s">
        <v>1</v>
      </c>
    </row>
    <row r="273" ht="12.75">
      <c r="A273" t="s">
        <v>416</v>
      </c>
    </row>
    <row r="275" ht="12.75">
      <c r="A275" t="s">
        <v>2</v>
      </c>
    </row>
    <row r="277" ht="12.75">
      <c r="A277" t="s">
        <v>41</v>
      </c>
    </row>
    <row r="278" ht="12.75">
      <c r="A278" t="s">
        <v>88</v>
      </c>
    </row>
    <row r="279" ht="12.75">
      <c r="A279" t="s">
        <v>4</v>
      </c>
    </row>
    <row r="280" ht="12.75">
      <c r="A280" t="s">
        <v>89</v>
      </c>
    </row>
    <row r="281" ht="12.75">
      <c r="A281" t="s">
        <v>5</v>
      </c>
    </row>
    <row r="283" ht="12.75">
      <c r="A283" t="s">
        <v>6</v>
      </c>
    </row>
    <row r="284" ht="12.75">
      <c r="A284" t="s">
        <v>7</v>
      </c>
    </row>
    <row r="286" spans="1:8" ht="12.75">
      <c r="A286" s="4" t="s">
        <v>8</v>
      </c>
      <c r="B286" s="4" t="s">
        <v>13</v>
      </c>
      <c r="C286" s="4" t="s">
        <v>9</v>
      </c>
      <c r="D286" s="4" t="s">
        <v>10</v>
      </c>
      <c r="E286" s="4" t="s">
        <v>15</v>
      </c>
      <c r="F286" s="4" t="s">
        <v>16</v>
      </c>
      <c r="G286" s="4" t="s">
        <v>9</v>
      </c>
      <c r="H286" s="4" t="s">
        <v>11</v>
      </c>
    </row>
    <row r="287" spans="1:8" ht="12.75">
      <c r="A287" s="4"/>
      <c r="B287" s="4"/>
      <c r="C287" s="4" t="s">
        <v>417</v>
      </c>
      <c r="D287" s="4" t="s">
        <v>418</v>
      </c>
      <c r="E287" s="4" t="s">
        <v>14</v>
      </c>
      <c r="F287" s="4" t="s">
        <v>17</v>
      </c>
      <c r="G287" s="4" t="s">
        <v>420</v>
      </c>
      <c r="H287" s="4" t="s">
        <v>12</v>
      </c>
    </row>
    <row r="288" spans="1:8" ht="12.75">
      <c r="A288" s="4"/>
      <c r="B288" s="4"/>
      <c r="C288" s="4"/>
      <c r="D288" s="4"/>
      <c r="E288" s="4" t="s">
        <v>419</v>
      </c>
      <c r="F288" s="4" t="s">
        <v>419</v>
      </c>
      <c r="G288" s="4"/>
      <c r="H288" s="4" t="s">
        <v>421</v>
      </c>
    </row>
    <row r="289" spans="1:8" ht="12.75">
      <c r="A289" s="4"/>
      <c r="B289" s="4"/>
      <c r="C289" s="4"/>
      <c r="D289" s="4"/>
      <c r="E289" s="4"/>
      <c r="F289" s="4"/>
      <c r="G289" s="4"/>
      <c r="H289" s="4"/>
    </row>
    <row r="290" spans="1:8" ht="22.5">
      <c r="A290" s="4">
        <v>1</v>
      </c>
      <c r="B290" s="5" t="s">
        <v>18</v>
      </c>
      <c r="C290" s="6"/>
      <c r="D290" s="6">
        <v>325313.13</v>
      </c>
      <c r="E290" s="6">
        <v>322835.49</v>
      </c>
      <c r="F290" s="6">
        <f>D290</f>
        <v>325313.13</v>
      </c>
      <c r="G290" s="6"/>
      <c r="H290" s="6">
        <f>-112467.91+8210.53+5522.36</f>
        <v>-98735.02</v>
      </c>
    </row>
    <row r="291" spans="1:8" ht="12.75">
      <c r="A291" s="4">
        <v>2</v>
      </c>
      <c r="B291" s="5" t="s">
        <v>21</v>
      </c>
      <c r="C291" s="8"/>
      <c r="D291" s="6"/>
      <c r="E291" s="6"/>
      <c r="F291" s="6"/>
      <c r="G291" s="6"/>
      <c r="H291" s="6"/>
    </row>
    <row r="292" spans="1:8" ht="12.75">
      <c r="A292" s="4">
        <v>3</v>
      </c>
      <c r="B292" s="5" t="s">
        <v>22</v>
      </c>
      <c r="C292" s="8"/>
      <c r="D292" s="6">
        <v>137019.47</v>
      </c>
      <c r="E292" s="6">
        <v>135674.1</v>
      </c>
      <c r="F292" s="6">
        <f>D292</f>
        <v>137019.47</v>
      </c>
      <c r="G292" s="6"/>
      <c r="H292" s="6">
        <f>-36364.53+5073.56-5654.63</f>
        <v>-36945.6</v>
      </c>
    </row>
    <row r="293" spans="1:8" s="37" customFormat="1" ht="21.75" customHeight="1">
      <c r="A293" s="32">
        <v>4</v>
      </c>
      <c r="B293" s="33" t="s">
        <v>23</v>
      </c>
      <c r="C293" s="34"/>
      <c r="D293" s="35"/>
      <c r="E293" s="35"/>
      <c r="F293" s="35"/>
      <c r="G293" s="35"/>
      <c r="H293" s="35"/>
    </row>
    <row r="294" spans="1:8" s="37" customFormat="1" ht="22.5">
      <c r="A294" s="32">
        <v>5</v>
      </c>
      <c r="B294" s="33" t="s">
        <v>24</v>
      </c>
      <c r="C294" s="34">
        <v>-10331.08</v>
      </c>
      <c r="D294" s="35">
        <v>263918.23</v>
      </c>
      <c r="E294" s="35">
        <f>'[1]текущий 2017'!$B$369</f>
        <v>253402.54000000004</v>
      </c>
      <c r="F294" s="35">
        <f>Лист3!D284</f>
        <v>175920.73</v>
      </c>
      <c r="G294" s="35">
        <f>C294+E294-F294</f>
        <v>67150.73000000004</v>
      </c>
      <c r="H294" s="35">
        <f>-38736.37-10515.69</f>
        <v>-49252.060000000005</v>
      </c>
    </row>
    <row r="295" spans="1:8" s="37" customFormat="1" ht="22.5">
      <c r="A295" s="32">
        <v>6</v>
      </c>
      <c r="B295" s="33" t="s">
        <v>25</v>
      </c>
      <c r="C295" s="34">
        <v>5444.4</v>
      </c>
      <c r="D295" s="35"/>
      <c r="E295" s="35"/>
      <c r="F295" s="35"/>
      <c r="G295" s="35">
        <f>C295-F295</f>
        <v>5444.4</v>
      </c>
      <c r="H295" s="35"/>
    </row>
    <row r="296" spans="1:8" s="37" customFormat="1" ht="22.5">
      <c r="A296" s="38" t="s">
        <v>395</v>
      </c>
      <c r="B296" s="33" t="s">
        <v>397</v>
      </c>
      <c r="C296" s="34">
        <v>117989</v>
      </c>
      <c r="D296" s="35"/>
      <c r="E296" s="35"/>
      <c r="F296" s="35"/>
      <c r="G296" s="35"/>
      <c r="H296" s="35"/>
    </row>
    <row r="297" spans="1:8" s="37" customFormat="1" ht="22.5">
      <c r="A297" s="32">
        <v>7</v>
      </c>
      <c r="B297" s="33" t="s">
        <v>26</v>
      </c>
      <c r="C297" s="33">
        <f aca="true" t="shared" si="7" ref="C297:H297">C298+C299+C300+C301</f>
        <v>0</v>
      </c>
      <c r="D297" s="33">
        <f t="shared" si="7"/>
        <v>1876226.5699999998</v>
      </c>
      <c r="E297" s="34">
        <f t="shared" si="7"/>
        <v>1831407.62</v>
      </c>
      <c r="F297" s="34">
        <f t="shared" si="7"/>
        <v>1832761.32</v>
      </c>
      <c r="G297" s="33">
        <f t="shared" si="7"/>
        <v>0</v>
      </c>
      <c r="H297" s="33">
        <f t="shared" si="7"/>
        <v>-945852.7000000001</v>
      </c>
    </row>
    <row r="298" spans="1:8" s="37" customFormat="1" ht="12.75">
      <c r="A298" s="32" t="s">
        <v>27</v>
      </c>
      <c r="B298" s="33" t="s">
        <v>28</v>
      </c>
      <c r="C298" s="33"/>
      <c r="D298" s="32">
        <v>21700.48</v>
      </c>
      <c r="E298" s="35">
        <v>20346.78</v>
      </c>
      <c r="F298" s="35">
        <f>D298</f>
        <v>21700.48</v>
      </c>
      <c r="G298" s="32"/>
      <c r="H298" s="32">
        <v>-1353.7</v>
      </c>
    </row>
    <row r="299" spans="1:8" s="37" customFormat="1" ht="33.75">
      <c r="A299" s="32" t="s">
        <v>29</v>
      </c>
      <c r="B299" s="33" t="s">
        <v>30</v>
      </c>
      <c r="C299" s="33"/>
      <c r="D299" s="32">
        <v>375049</v>
      </c>
      <c r="E299" s="35">
        <v>365490.54</v>
      </c>
      <c r="F299" s="35">
        <f>E299</f>
        <v>365490.54</v>
      </c>
      <c r="G299" s="32">
        <f>E299-F299</f>
        <v>0</v>
      </c>
      <c r="H299" s="32">
        <f>-173574.05+3809.49-9558.46</f>
        <v>-179323.02</v>
      </c>
    </row>
    <row r="300" spans="1:8" s="37" customFormat="1" ht="22.5">
      <c r="A300" s="32" t="s">
        <v>31</v>
      </c>
      <c r="B300" s="33" t="s">
        <v>32</v>
      </c>
      <c r="C300" s="33"/>
      <c r="D300" s="32">
        <v>624273.48</v>
      </c>
      <c r="E300" s="35">
        <v>604786.04</v>
      </c>
      <c r="F300" s="35">
        <f>E300</f>
        <v>604786.04</v>
      </c>
      <c r="G300" s="32"/>
      <c r="H300" s="32">
        <f>-353230.98+2171.4-19487.44</f>
        <v>-370547.01999999996</v>
      </c>
    </row>
    <row r="301" spans="1:8" s="37" customFormat="1" ht="22.5">
      <c r="A301" s="32" t="s">
        <v>33</v>
      </c>
      <c r="B301" s="33" t="s">
        <v>34</v>
      </c>
      <c r="C301" s="33"/>
      <c r="D301" s="32">
        <v>855203.61</v>
      </c>
      <c r="E301" s="35">
        <v>840784.26</v>
      </c>
      <c r="F301" s="35">
        <f>E301</f>
        <v>840784.26</v>
      </c>
      <c r="G301" s="32">
        <f>E301-F301</f>
        <v>0</v>
      </c>
      <c r="H301" s="32">
        <f>-362276.78-26771.53-5580.65</f>
        <v>-394628.9600000001</v>
      </c>
    </row>
    <row r="302" spans="1:8" s="37" customFormat="1" ht="56.25">
      <c r="A302" s="32"/>
      <c r="B302" s="39" t="s">
        <v>389</v>
      </c>
      <c r="C302" s="35">
        <v>16200</v>
      </c>
      <c r="D302" s="35">
        <v>5400</v>
      </c>
      <c r="E302" s="35">
        <v>5400</v>
      </c>
      <c r="F302" s="35"/>
      <c r="G302" s="35">
        <f>C302+E302</f>
        <v>21600</v>
      </c>
      <c r="H302" s="35"/>
    </row>
    <row r="303" spans="1:8" ht="12.75">
      <c r="A303" s="4"/>
      <c r="B303" s="4"/>
      <c r="C303" s="4"/>
      <c r="D303" s="4"/>
      <c r="E303" s="4"/>
      <c r="F303" s="4"/>
      <c r="G303" s="4"/>
      <c r="H303" s="4"/>
    </row>
    <row r="307" ht="12.75" hidden="1"/>
    <row r="308" ht="12.75" hidden="1"/>
    <row r="309" ht="102" customHeight="1"/>
    <row r="310" ht="12.75">
      <c r="A310" t="s">
        <v>0</v>
      </c>
    </row>
    <row r="311" ht="12.75">
      <c r="A311" t="s">
        <v>291</v>
      </c>
    </row>
    <row r="312" ht="12.75">
      <c r="A312" t="s">
        <v>1</v>
      </c>
    </row>
    <row r="313" ht="12.75">
      <c r="A313" t="s">
        <v>416</v>
      </c>
    </row>
    <row r="315" ht="12.75">
      <c r="A315" t="s">
        <v>2</v>
      </c>
    </row>
    <row r="317" ht="12.75">
      <c r="A317" t="s">
        <v>42</v>
      </c>
    </row>
    <row r="318" ht="12.75">
      <c r="A318" t="s">
        <v>90</v>
      </c>
    </row>
    <row r="319" ht="12.75">
      <c r="A319" t="s">
        <v>4</v>
      </c>
    </row>
    <row r="320" ht="12.75">
      <c r="A320" t="s">
        <v>91</v>
      </c>
    </row>
    <row r="321" ht="12.75">
      <c r="A321" t="s">
        <v>5</v>
      </c>
    </row>
    <row r="323" ht="12.75">
      <c r="A323" t="s">
        <v>6</v>
      </c>
    </row>
    <row r="324" ht="12.75">
      <c r="A324" t="s">
        <v>7</v>
      </c>
    </row>
    <row r="326" spans="1:8" ht="12.75">
      <c r="A326" s="4" t="s">
        <v>8</v>
      </c>
      <c r="B326" s="4" t="s">
        <v>13</v>
      </c>
      <c r="C326" s="4" t="s">
        <v>9</v>
      </c>
      <c r="D326" s="4" t="s">
        <v>10</v>
      </c>
      <c r="E326" s="4" t="s">
        <v>15</v>
      </c>
      <c r="F326" s="4" t="s">
        <v>16</v>
      </c>
      <c r="G326" s="4" t="s">
        <v>9</v>
      </c>
      <c r="H326" s="4" t="s">
        <v>11</v>
      </c>
    </row>
    <row r="327" spans="1:8" ht="12.75">
      <c r="A327" s="4"/>
      <c r="B327" s="4"/>
      <c r="C327" s="4" t="s">
        <v>417</v>
      </c>
      <c r="D327" s="4" t="s">
        <v>418</v>
      </c>
      <c r="E327" s="4" t="s">
        <v>14</v>
      </c>
      <c r="F327" s="4" t="s">
        <v>17</v>
      </c>
      <c r="G327" s="4" t="s">
        <v>420</v>
      </c>
      <c r="H327" s="4" t="s">
        <v>12</v>
      </c>
    </row>
    <row r="328" spans="1:8" ht="12.75">
      <c r="A328" s="4"/>
      <c r="B328" s="4"/>
      <c r="C328" s="4"/>
      <c r="D328" s="4"/>
      <c r="E328" s="4" t="s">
        <v>419</v>
      </c>
      <c r="F328" s="4" t="s">
        <v>419</v>
      </c>
      <c r="G328" s="4"/>
      <c r="H328" s="4" t="s">
        <v>421</v>
      </c>
    </row>
    <row r="329" spans="1:8" ht="12.75">
      <c r="A329" s="4"/>
      <c r="B329" s="4"/>
      <c r="C329" s="4"/>
      <c r="D329" s="4"/>
      <c r="E329" s="4"/>
      <c r="F329" s="4"/>
      <c r="G329" s="4"/>
      <c r="H329" s="4"/>
    </row>
    <row r="330" spans="1:8" ht="22.5">
      <c r="A330" s="4">
        <v>1</v>
      </c>
      <c r="B330" s="5" t="s">
        <v>18</v>
      </c>
      <c r="C330" s="6"/>
      <c r="D330" s="6">
        <v>330057.77</v>
      </c>
      <c r="E330" s="6">
        <v>327232.15</v>
      </c>
      <c r="F330" s="6">
        <f>D330</f>
        <v>330057.77</v>
      </c>
      <c r="G330" s="6"/>
      <c r="H330" s="6">
        <f>-42941.83+3669.14-2825.62</f>
        <v>-42098.310000000005</v>
      </c>
    </row>
    <row r="331" spans="1:8" ht="12.75">
      <c r="A331" s="4">
        <v>2</v>
      </c>
      <c r="B331" s="5" t="s">
        <v>21</v>
      </c>
      <c r="C331" s="8"/>
      <c r="D331" s="6"/>
      <c r="E331" s="6"/>
      <c r="F331" s="6"/>
      <c r="G331" s="6"/>
      <c r="H331" s="6"/>
    </row>
    <row r="332" spans="1:8" ht="12.75">
      <c r="A332" s="4">
        <v>3</v>
      </c>
      <c r="B332" s="5" t="s">
        <v>22</v>
      </c>
      <c r="C332" s="8"/>
      <c r="D332" s="6">
        <v>139054.62</v>
      </c>
      <c r="E332" s="6">
        <v>136053.95</v>
      </c>
      <c r="F332" s="6">
        <f>D332</f>
        <v>139054.62</v>
      </c>
      <c r="G332" s="6"/>
      <c r="H332" s="6">
        <f>-14755.7+2520.81-3000.67</f>
        <v>-15235.560000000001</v>
      </c>
    </row>
    <row r="333" spans="1:8" s="37" customFormat="1" ht="22.5">
      <c r="A333" s="32">
        <v>4</v>
      </c>
      <c r="B333" s="33" t="s">
        <v>23</v>
      </c>
      <c r="C333" s="34"/>
      <c r="D333" s="35"/>
      <c r="E333" s="35"/>
      <c r="F333" s="35"/>
      <c r="G333" s="35"/>
      <c r="H333" s="35"/>
    </row>
    <row r="334" spans="1:8" s="37" customFormat="1" ht="22.5">
      <c r="A334" s="32">
        <v>5</v>
      </c>
      <c r="B334" s="33" t="s">
        <v>24</v>
      </c>
      <c r="C334" s="34">
        <v>143871.03</v>
      </c>
      <c r="D334" s="35">
        <v>74765.16</v>
      </c>
      <c r="E334" s="35">
        <f>'[1]текущий 2017'!$B$420</f>
        <v>114285.82</v>
      </c>
      <c r="F334" s="35">
        <f>Лист3!D321</f>
        <v>182677.5</v>
      </c>
      <c r="G334" s="35">
        <f>C334+E334-F334</f>
        <v>75479.35</v>
      </c>
      <c r="H334" s="35">
        <f>-16922.96+1505.42+820.17</f>
        <v>-14597.369999999999</v>
      </c>
    </row>
    <row r="335" spans="1:8" s="37" customFormat="1" ht="22.5">
      <c r="A335" s="32">
        <v>6</v>
      </c>
      <c r="B335" s="33" t="s">
        <v>25</v>
      </c>
      <c r="C335" s="34">
        <v>40158.41</v>
      </c>
      <c r="D335" s="35"/>
      <c r="E335" s="35"/>
      <c r="F335" s="35">
        <v>40158.41</v>
      </c>
      <c r="G335" s="35">
        <f>C335-F335</f>
        <v>0</v>
      </c>
      <c r="H335" s="35"/>
    </row>
    <row r="336" spans="1:8" s="37" customFormat="1" ht="22.5">
      <c r="A336" s="38" t="s">
        <v>395</v>
      </c>
      <c r="B336" s="33" t="s">
        <v>397</v>
      </c>
      <c r="C336" s="34">
        <v>135327</v>
      </c>
      <c r="D336" s="35"/>
      <c r="E336" s="35"/>
      <c r="F336" s="35"/>
      <c r="G336" s="35"/>
      <c r="H336" s="35"/>
    </row>
    <row r="337" spans="1:8" s="37" customFormat="1" ht="22.5">
      <c r="A337" s="32">
        <v>7</v>
      </c>
      <c r="B337" s="33" t="s">
        <v>26</v>
      </c>
      <c r="C337" s="33">
        <f aca="true" t="shared" si="8" ref="C337:H337">C338+C339+C340+C341</f>
        <v>0</v>
      </c>
      <c r="D337" s="33">
        <f t="shared" si="8"/>
        <v>1715049.9000000001</v>
      </c>
      <c r="E337" s="34">
        <f t="shared" si="8"/>
        <v>1680825.95</v>
      </c>
      <c r="F337" s="34">
        <f t="shared" si="8"/>
        <v>1682005.87</v>
      </c>
      <c r="G337" s="33">
        <f t="shared" si="8"/>
        <v>0</v>
      </c>
      <c r="H337" s="33">
        <f t="shared" si="8"/>
        <v>-435645.32</v>
      </c>
    </row>
    <row r="338" spans="1:8" s="37" customFormat="1" ht="12.75">
      <c r="A338" s="32" t="s">
        <v>27</v>
      </c>
      <c r="B338" s="33" t="s">
        <v>28</v>
      </c>
      <c r="C338" s="33"/>
      <c r="D338" s="32">
        <v>23260.62</v>
      </c>
      <c r="E338" s="35">
        <v>22080.7</v>
      </c>
      <c r="F338" s="35">
        <f>D338</f>
        <v>23260.62</v>
      </c>
      <c r="G338" s="32"/>
      <c r="H338" s="32">
        <v>-1179.92</v>
      </c>
    </row>
    <row r="339" spans="1:8" s="37" customFormat="1" ht="33.75">
      <c r="A339" s="32" t="s">
        <v>29</v>
      </c>
      <c r="B339" s="33" t="s">
        <v>30</v>
      </c>
      <c r="C339" s="33"/>
      <c r="D339" s="32">
        <v>306488.18</v>
      </c>
      <c r="E339" s="35">
        <v>299630.5</v>
      </c>
      <c r="F339" s="35">
        <f>E339</f>
        <v>299630.5</v>
      </c>
      <c r="G339" s="32">
        <f>E339-F339</f>
        <v>0</v>
      </c>
      <c r="H339" s="32">
        <f>-37970.83+6200.61-6857.68</f>
        <v>-38627.9</v>
      </c>
    </row>
    <row r="340" spans="1:8" s="37" customFormat="1" ht="22.5">
      <c r="A340" s="32" t="s">
        <v>31</v>
      </c>
      <c r="B340" s="33" t="s">
        <v>32</v>
      </c>
      <c r="C340" s="33"/>
      <c r="D340" s="32">
        <v>527526.79</v>
      </c>
      <c r="E340" s="35">
        <v>519430.68</v>
      </c>
      <c r="F340" s="35">
        <f>E340</f>
        <v>519430.68</v>
      </c>
      <c r="G340" s="32"/>
      <c r="H340" s="32">
        <f>-84681.75+4924.29-8096.11</f>
        <v>-87853.57</v>
      </c>
    </row>
    <row r="341" spans="1:8" s="37" customFormat="1" ht="22.5">
      <c r="A341" s="32" t="s">
        <v>33</v>
      </c>
      <c r="B341" s="33" t="s">
        <v>34</v>
      </c>
      <c r="C341" s="33"/>
      <c r="D341" s="32">
        <v>857774.31</v>
      </c>
      <c r="E341" s="35">
        <v>839684.07</v>
      </c>
      <c r="F341" s="35">
        <f>E341</f>
        <v>839684.07</v>
      </c>
      <c r="G341" s="32">
        <f>E341-F341</f>
        <v>0</v>
      </c>
      <c r="H341" s="32">
        <f>-263821.15-26072.54-18090.24</f>
        <v>-307983.93</v>
      </c>
    </row>
    <row r="342" spans="1:8" s="37" customFormat="1" ht="56.25">
      <c r="A342" s="32"/>
      <c r="B342" s="39" t="s">
        <v>389</v>
      </c>
      <c r="C342" s="35">
        <v>16200</v>
      </c>
      <c r="D342" s="35">
        <v>5400</v>
      </c>
      <c r="E342" s="35">
        <v>5400</v>
      </c>
      <c r="F342" s="35"/>
      <c r="G342" s="35">
        <f>C342+E342</f>
        <v>21600</v>
      </c>
      <c r="H342" s="35"/>
    </row>
    <row r="343" spans="1:8" ht="12.75">
      <c r="A343" s="4"/>
      <c r="B343" s="4"/>
      <c r="C343" s="4"/>
      <c r="D343" s="4"/>
      <c r="E343" s="4"/>
      <c r="F343" s="4"/>
      <c r="G343" s="4"/>
      <c r="H343" s="4"/>
    </row>
    <row r="347" ht="12.75" hidden="1"/>
    <row r="348" ht="12.75" hidden="1"/>
    <row r="349" ht="103.5" customHeight="1"/>
    <row r="350" ht="12.75">
      <c r="A350" t="s">
        <v>0</v>
      </c>
    </row>
    <row r="351" ht="12.75">
      <c r="A351" t="s">
        <v>291</v>
      </c>
    </row>
    <row r="352" ht="12.75">
      <c r="A352" t="s">
        <v>1</v>
      </c>
    </row>
    <row r="353" ht="12.75">
      <c r="A353" t="s">
        <v>416</v>
      </c>
    </row>
    <row r="355" ht="12.75">
      <c r="A355" t="s">
        <v>2</v>
      </c>
    </row>
    <row r="357" ht="12.75">
      <c r="A357" t="s">
        <v>43</v>
      </c>
    </row>
    <row r="358" ht="12.75">
      <c r="A358" t="s">
        <v>92</v>
      </c>
    </row>
    <row r="359" ht="12.75">
      <c r="A359" t="s">
        <v>4</v>
      </c>
    </row>
    <row r="360" ht="12.75">
      <c r="A360" t="s">
        <v>93</v>
      </c>
    </row>
    <row r="361" ht="12.75">
      <c r="A361" t="s">
        <v>5</v>
      </c>
    </row>
    <row r="363" ht="12.75">
      <c r="A363" t="s">
        <v>6</v>
      </c>
    </row>
    <row r="364" ht="12.75">
      <c r="A364" t="s">
        <v>7</v>
      </c>
    </row>
    <row r="366" spans="1:8" ht="12.75">
      <c r="A366" s="4" t="s">
        <v>8</v>
      </c>
      <c r="B366" s="4" t="s">
        <v>13</v>
      </c>
      <c r="C366" s="4" t="s">
        <v>9</v>
      </c>
      <c r="D366" s="4" t="s">
        <v>10</v>
      </c>
      <c r="E366" s="4" t="s">
        <v>15</v>
      </c>
      <c r="F366" s="4" t="s">
        <v>16</v>
      </c>
      <c r="G366" s="4" t="s">
        <v>9</v>
      </c>
      <c r="H366" s="4" t="s">
        <v>11</v>
      </c>
    </row>
    <row r="367" spans="1:8" ht="12.75">
      <c r="A367" s="4"/>
      <c r="B367" s="4"/>
      <c r="C367" s="4" t="s">
        <v>417</v>
      </c>
      <c r="D367" s="4" t="s">
        <v>418</v>
      </c>
      <c r="E367" s="4" t="s">
        <v>14</v>
      </c>
      <c r="F367" s="4" t="s">
        <v>17</v>
      </c>
      <c r="G367" s="4" t="s">
        <v>420</v>
      </c>
      <c r="H367" s="4" t="s">
        <v>12</v>
      </c>
    </row>
    <row r="368" spans="1:8" ht="12.75">
      <c r="A368" s="4"/>
      <c r="B368" s="4"/>
      <c r="C368" s="4"/>
      <c r="D368" s="4"/>
      <c r="E368" s="4" t="s">
        <v>419</v>
      </c>
      <c r="F368" s="4" t="s">
        <v>419</v>
      </c>
      <c r="G368" s="4"/>
      <c r="H368" s="4" t="s">
        <v>421</v>
      </c>
    </row>
    <row r="369" spans="1:8" ht="12.75">
      <c r="A369" s="4"/>
      <c r="B369" s="4"/>
      <c r="C369" s="4"/>
      <c r="D369" s="4"/>
      <c r="E369" s="4"/>
      <c r="F369" s="4"/>
      <c r="G369" s="4"/>
      <c r="H369" s="4"/>
    </row>
    <row r="370" spans="1:8" ht="22.5">
      <c r="A370" s="4">
        <v>1</v>
      </c>
      <c r="B370" s="5" t="s">
        <v>18</v>
      </c>
      <c r="C370" s="6"/>
      <c r="D370" s="6">
        <v>411297.77</v>
      </c>
      <c r="E370" s="6">
        <v>410057.7</v>
      </c>
      <c r="F370" s="6">
        <f>D370</f>
        <v>411297.77</v>
      </c>
      <c r="G370" s="6"/>
      <c r="H370" s="6">
        <f>-56816.36+24171.49-1240.07</f>
        <v>-33884.94</v>
      </c>
    </row>
    <row r="371" spans="1:8" ht="12.75">
      <c r="A371" s="4">
        <v>2</v>
      </c>
      <c r="B371" s="5" t="s">
        <v>21</v>
      </c>
      <c r="C371" s="8"/>
      <c r="D371" s="6">
        <v>157189.52</v>
      </c>
      <c r="E371" s="6">
        <v>156475.97</v>
      </c>
      <c r="F371" s="6">
        <f>D371</f>
        <v>157189.52</v>
      </c>
      <c r="G371" s="6"/>
      <c r="H371" s="6">
        <f>-26776.55+8293.38-713.55</f>
        <v>-19196.719999999998</v>
      </c>
    </row>
    <row r="372" spans="1:8" ht="12.75">
      <c r="A372" s="4">
        <v>3</v>
      </c>
      <c r="B372" s="5" t="s">
        <v>22</v>
      </c>
      <c r="C372" s="8"/>
      <c r="D372" s="6">
        <v>167137.51</v>
      </c>
      <c r="E372" s="6">
        <v>166252.61</v>
      </c>
      <c r="F372" s="6">
        <f>D372</f>
        <v>167137.51</v>
      </c>
      <c r="G372" s="6"/>
      <c r="H372" s="6">
        <f>-5796.57+10115.1-884.9</f>
        <v>3433.6300000000006</v>
      </c>
    </row>
    <row r="373" spans="1:8" s="37" customFormat="1" ht="22.5">
      <c r="A373" s="32">
        <v>4</v>
      </c>
      <c r="B373" s="33" t="s">
        <v>23</v>
      </c>
      <c r="C373" s="34"/>
      <c r="D373" s="35"/>
      <c r="E373" s="35"/>
      <c r="F373" s="35"/>
      <c r="G373" s="35"/>
      <c r="H373" s="35"/>
    </row>
    <row r="374" spans="1:8" s="37" customFormat="1" ht="22.5">
      <c r="A374" s="32">
        <v>5</v>
      </c>
      <c r="B374" s="33" t="s">
        <v>24</v>
      </c>
      <c r="C374" s="34">
        <v>184603.23</v>
      </c>
      <c r="D374" s="35">
        <v>99933.6</v>
      </c>
      <c r="E374" s="35">
        <f>'[1]текущий 2017'!$B$462</f>
        <v>108514.95</v>
      </c>
      <c r="F374" s="35">
        <f>Лист3!D358</f>
        <v>36345.47</v>
      </c>
      <c r="G374" s="35">
        <f>E374+C374-F374</f>
        <v>256772.71</v>
      </c>
      <c r="H374" s="35">
        <f>-18023.1+8581.35</f>
        <v>-9441.749999999998</v>
      </c>
    </row>
    <row r="375" spans="1:8" s="37" customFormat="1" ht="22.5">
      <c r="A375" s="32">
        <v>6</v>
      </c>
      <c r="B375" s="33" t="s">
        <v>25</v>
      </c>
      <c r="C375" s="34">
        <v>-56754.9</v>
      </c>
      <c r="D375" s="35"/>
      <c r="E375" s="35">
        <v>2207.5</v>
      </c>
      <c r="F375" s="35"/>
      <c r="G375" s="35">
        <f>C375+E375</f>
        <v>-54547.4</v>
      </c>
      <c r="H375" s="35">
        <v>-13073.17</v>
      </c>
    </row>
    <row r="376" spans="1:8" s="37" customFormat="1" ht="22.5">
      <c r="A376" s="38" t="s">
        <v>395</v>
      </c>
      <c r="B376" s="33" t="s">
        <v>397</v>
      </c>
      <c r="C376" s="34">
        <v>152519</v>
      </c>
      <c r="D376" s="35"/>
      <c r="E376" s="35"/>
      <c r="F376" s="35"/>
      <c r="G376" s="35"/>
      <c r="H376" s="35"/>
    </row>
    <row r="377" spans="1:8" s="37" customFormat="1" ht="22.5">
      <c r="A377" s="32">
        <v>7</v>
      </c>
      <c r="B377" s="33" t="s">
        <v>26</v>
      </c>
      <c r="C377" s="33">
        <f aca="true" t="shared" si="9" ref="C377:H377">C378+C379+C380+C381</f>
        <v>0</v>
      </c>
      <c r="D377" s="33">
        <f t="shared" si="9"/>
        <v>1580064.62</v>
      </c>
      <c r="E377" s="34">
        <f t="shared" si="9"/>
        <v>1553696.58</v>
      </c>
      <c r="F377" s="34">
        <f t="shared" si="9"/>
        <v>1569973.94</v>
      </c>
      <c r="G377" s="33">
        <f t="shared" si="9"/>
        <v>0</v>
      </c>
      <c r="H377" s="33">
        <f t="shared" si="9"/>
        <v>-381015.95999999996</v>
      </c>
    </row>
    <row r="378" spans="1:8" s="37" customFormat="1" ht="12.75">
      <c r="A378" s="32" t="s">
        <v>27</v>
      </c>
      <c r="B378" s="33" t="s">
        <v>28</v>
      </c>
      <c r="C378" s="33"/>
      <c r="D378" s="32">
        <v>41469.18</v>
      </c>
      <c r="E378" s="35">
        <v>25191.82</v>
      </c>
      <c r="F378" s="35">
        <f>D378</f>
        <v>41469.18</v>
      </c>
      <c r="G378" s="32"/>
      <c r="H378" s="32">
        <v>-16277.36</v>
      </c>
    </row>
    <row r="379" spans="1:8" s="37" customFormat="1" ht="33.75">
      <c r="A379" s="32" t="s">
        <v>29</v>
      </c>
      <c r="B379" s="33" t="s">
        <v>30</v>
      </c>
      <c r="C379" s="33"/>
      <c r="D379" s="32">
        <v>245115.65</v>
      </c>
      <c r="E379" s="35">
        <v>241747.87</v>
      </c>
      <c r="F379" s="35">
        <f>E379</f>
        <v>241747.87</v>
      </c>
      <c r="G379" s="32">
        <f>E379-F379</f>
        <v>0</v>
      </c>
      <c r="H379" s="32">
        <f>-17851.75-3367.78</f>
        <v>-21219.53</v>
      </c>
    </row>
    <row r="380" spans="1:8" s="37" customFormat="1" ht="22.5">
      <c r="A380" s="32" t="s">
        <v>31</v>
      </c>
      <c r="B380" s="33" t="s">
        <v>32</v>
      </c>
      <c r="C380" s="33"/>
      <c r="D380" s="32">
        <v>480251.58</v>
      </c>
      <c r="E380" s="35">
        <v>473781.22</v>
      </c>
      <c r="F380" s="35">
        <f>E380</f>
        <v>473781.22</v>
      </c>
      <c r="G380" s="32"/>
      <c r="H380" s="32">
        <f>-42428.59-6470.36</f>
        <v>-48898.95</v>
      </c>
    </row>
    <row r="381" spans="1:8" s="37" customFormat="1" ht="22.5">
      <c r="A381" s="32" t="s">
        <v>33</v>
      </c>
      <c r="B381" s="33" t="s">
        <v>34</v>
      </c>
      <c r="C381" s="33"/>
      <c r="D381" s="32">
        <v>813228.21</v>
      </c>
      <c r="E381" s="35">
        <v>812975.67</v>
      </c>
      <c r="F381" s="35">
        <f>E381</f>
        <v>812975.67</v>
      </c>
      <c r="G381" s="32">
        <f>E381-F381</f>
        <v>0</v>
      </c>
      <c r="H381" s="32">
        <f>-337115.04+42747.46-252.54</f>
        <v>-294620.11999999994</v>
      </c>
    </row>
    <row r="382" spans="1:8" s="37" customFormat="1" ht="56.25">
      <c r="A382" s="32"/>
      <c r="B382" s="39" t="s">
        <v>389</v>
      </c>
      <c r="C382" s="35">
        <v>16200</v>
      </c>
      <c r="D382" s="35">
        <v>5400</v>
      </c>
      <c r="E382" s="35">
        <v>5400</v>
      </c>
      <c r="F382" s="35"/>
      <c r="G382" s="35">
        <f>C382+E382</f>
        <v>21600</v>
      </c>
      <c r="H382" s="35"/>
    </row>
    <row r="383" spans="1:8" ht="12.75">
      <c r="A383" s="4"/>
      <c r="B383" s="4"/>
      <c r="C383" s="4"/>
      <c r="D383" s="4"/>
      <c r="E383" s="4"/>
      <c r="F383" s="4"/>
      <c r="G383" s="4"/>
      <c r="H383" s="4"/>
    </row>
    <row r="387" ht="12.75" hidden="1"/>
    <row r="388" ht="12.75" hidden="1"/>
    <row r="389" ht="101.25" customHeight="1"/>
    <row r="390" ht="12.75">
      <c r="A390" t="s">
        <v>0</v>
      </c>
    </row>
    <row r="391" ht="12.75">
      <c r="A391" t="s">
        <v>291</v>
      </c>
    </row>
    <row r="392" ht="12.75">
      <c r="A392" t="s">
        <v>1</v>
      </c>
    </row>
    <row r="393" ht="12.75">
      <c r="A393" t="s">
        <v>416</v>
      </c>
    </row>
    <row r="395" ht="12.75">
      <c r="A395" t="s">
        <v>2</v>
      </c>
    </row>
    <row r="397" ht="12.75">
      <c r="A397" t="s">
        <v>44</v>
      </c>
    </row>
    <row r="398" ht="12.75">
      <c r="A398" t="s">
        <v>94</v>
      </c>
    </row>
    <row r="399" ht="12.75">
      <c r="A399" t="s">
        <v>4</v>
      </c>
    </row>
    <row r="400" ht="12.75">
      <c r="A400" t="s">
        <v>95</v>
      </c>
    </row>
    <row r="401" ht="12.75">
      <c r="A401" t="s">
        <v>5</v>
      </c>
    </row>
    <row r="403" ht="12.75">
      <c r="A403" t="s">
        <v>6</v>
      </c>
    </row>
    <row r="404" ht="12.75">
      <c r="A404" t="s">
        <v>7</v>
      </c>
    </row>
    <row r="406" spans="1:8" ht="12.75">
      <c r="A406" s="4" t="s">
        <v>8</v>
      </c>
      <c r="B406" s="4" t="s">
        <v>13</v>
      </c>
      <c r="C406" s="4" t="s">
        <v>9</v>
      </c>
      <c r="D406" s="4" t="s">
        <v>10</v>
      </c>
      <c r="E406" s="4" t="s">
        <v>15</v>
      </c>
      <c r="F406" s="4" t="s">
        <v>16</v>
      </c>
      <c r="G406" s="4" t="s">
        <v>9</v>
      </c>
      <c r="H406" s="4" t="s">
        <v>11</v>
      </c>
    </row>
    <row r="407" spans="1:8" ht="12.75">
      <c r="A407" s="4"/>
      <c r="B407" s="4"/>
      <c r="C407" s="4" t="s">
        <v>417</v>
      </c>
      <c r="D407" s="4" t="s">
        <v>418</v>
      </c>
      <c r="E407" s="4" t="s">
        <v>14</v>
      </c>
      <c r="F407" s="4" t="s">
        <v>17</v>
      </c>
      <c r="G407" s="4" t="s">
        <v>420</v>
      </c>
      <c r="H407" s="4" t="s">
        <v>12</v>
      </c>
    </row>
    <row r="408" spans="1:8" ht="12.75">
      <c r="A408" s="4"/>
      <c r="B408" s="4"/>
      <c r="C408" s="4"/>
      <c r="D408" s="4"/>
      <c r="E408" s="4" t="s">
        <v>419</v>
      </c>
      <c r="F408" s="4" t="s">
        <v>419</v>
      </c>
      <c r="G408" s="4"/>
      <c r="H408" s="4" t="s">
        <v>421</v>
      </c>
    </row>
    <row r="409" spans="1:8" ht="12.75">
      <c r="A409" s="4"/>
      <c r="B409" s="4"/>
      <c r="C409" s="4"/>
      <c r="D409" s="4"/>
      <c r="E409" s="4"/>
      <c r="F409" s="4"/>
      <c r="G409" s="4"/>
      <c r="H409" s="4"/>
    </row>
    <row r="410" spans="1:8" ht="22.5">
      <c r="A410" s="4">
        <v>1</v>
      </c>
      <c r="B410" s="5" t="s">
        <v>18</v>
      </c>
      <c r="C410" s="6"/>
      <c r="D410" s="6">
        <v>308595.83</v>
      </c>
      <c r="E410" s="6">
        <v>299718.83</v>
      </c>
      <c r="F410" s="6">
        <f>D410</f>
        <v>308595.83</v>
      </c>
      <c r="G410" s="6"/>
      <c r="H410" s="6">
        <f>-47259.51+8143.08-8877</f>
        <v>-47993.43</v>
      </c>
    </row>
    <row r="411" spans="1:8" ht="12.75">
      <c r="A411" s="4">
        <v>2</v>
      </c>
      <c r="B411" s="5" t="s">
        <v>21</v>
      </c>
      <c r="C411" s="8"/>
      <c r="D411" s="6"/>
      <c r="E411" s="6"/>
      <c r="F411" s="6"/>
      <c r="G411" s="6"/>
      <c r="H411" s="6"/>
    </row>
    <row r="412" spans="1:8" ht="12.75">
      <c r="A412" s="4">
        <v>3</v>
      </c>
      <c r="B412" s="5" t="s">
        <v>22</v>
      </c>
      <c r="C412" s="8"/>
      <c r="D412" s="6">
        <v>135711.33</v>
      </c>
      <c r="E412" s="6">
        <v>133167.45</v>
      </c>
      <c r="F412" s="6">
        <f>D412</f>
        <v>135711.33</v>
      </c>
      <c r="G412" s="6"/>
      <c r="H412" s="6">
        <f>-11838.61+3886.6-2543.88</f>
        <v>-10495.89</v>
      </c>
    </row>
    <row r="413" spans="1:8" ht="22.5">
      <c r="A413" s="4">
        <v>4</v>
      </c>
      <c r="B413" s="5" t="s">
        <v>23</v>
      </c>
      <c r="C413" s="8"/>
      <c r="D413" s="6"/>
      <c r="E413" s="6"/>
      <c r="F413" s="6"/>
      <c r="G413" s="6"/>
      <c r="H413" s="6"/>
    </row>
    <row r="414" spans="1:8" ht="22.5">
      <c r="A414" s="4">
        <v>5</v>
      </c>
      <c r="B414" s="5" t="s">
        <v>24</v>
      </c>
      <c r="C414" s="8">
        <v>42974.83</v>
      </c>
      <c r="D414" s="6">
        <f>146337.48+196000</f>
        <v>342337.48</v>
      </c>
      <c r="E414" s="6">
        <f>'[1]текущий 2017'!$B$513</f>
        <v>335105.93</v>
      </c>
      <c r="F414" s="6">
        <f>'[1]текущий 2017'!$C$514</f>
        <v>204899.06</v>
      </c>
      <c r="G414" s="6">
        <f>C414+E414-F414</f>
        <v>173181.7</v>
      </c>
      <c r="H414" s="6">
        <f>-13296.93+2355.6</f>
        <v>-10941.33</v>
      </c>
    </row>
    <row r="415" spans="1:8" ht="22.5">
      <c r="A415" s="4">
        <v>6</v>
      </c>
      <c r="B415" s="5" t="s">
        <v>25</v>
      </c>
      <c r="C415" s="8">
        <v>0</v>
      </c>
      <c r="D415" s="6"/>
      <c r="E415" s="6">
        <v>0</v>
      </c>
      <c r="F415" s="6"/>
      <c r="G415" s="6">
        <f>C415+E415</f>
        <v>0</v>
      </c>
      <c r="H415" s="6">
        <f>-3720.5+143.88</f>
        <v>-3576.62</v>
      </c>
    </row>
    <row r="416" spans="1:8" ht="22.5">
      <c r="A416" s="24" t="s">
        <v>395</v>
      </c>
      <c r="B416" s="5" t="s">
        <v>397</v>
      </c>
      <c r="C416" s="8">
        <v>131345</v>
      </c>
      <c r="D416" s="6"/>
      <c r="E416" s="6"/>
      <c r="F416" s="6"/>
      <c r="G416" s="6"/>
      <c r="H416" s="6"/>
    </row>
    <row r="417" spans="1:8" ht="22.5">
      <c r="A417" s="4">
        <v>7</v>
      </c>
      <c r="B417" s="5" t="s">
        <v>26</v>
      </c>
      <c r="C417" s="5">
        <f aca="true" t="shared" si="10" ref="C417:H417">C418+C419+C420+C421</f>
        <v>0</v>
      </c>
      <c r="D417" s="5">
        <f t="shared" si="10"/>
        <v>1373237.55</v>
      </c>
      <c r="E417" s="8">
        <f t="shared" si="10"/>
        <v>1359466.03</v>
      </c>
      <c r="F417" s="8">
        <f t="shared" si="10"/>
        <v>1360757.4500000002</v>
      </c>
      <c r="G417" s="5">
        <f t="shared" si="10"/>
        <v>0</v>
      </c>
      <c r="H417" s="5">
        <f t="shared" si="10"/>
        <v>-298843.28</v>
      </c>
    </row>
    <row r="418" spans="1:8" ht="12.75">
      <c r="A418" s="4" t="s">
        <v>27</v>
      </c>
      <c r="B418" s="5" t="s">
        <v>28</v>
      </c>
      <c r="C418" s="5"/>
      <c r="D418" s="4">
        <v>30787.15</v>
      </c>
      <c r="E418" s="6">
        <v>29495.73</v>
      </c>
      <c r="F418" s="6">
        <f>D418</f>
        <v>30787.15</v>
      </c>
      <c r="G418" s="4"/>
      <c r="H418" s="4">
        <f>-1291.42</f>
        <v>-1291.42</v>
      </c>
    </row>
    <row r="419" spans="1:8" ht="33.75">
      <c r="A419" s="4" t="s">
        <v>29</v>
      </c>
      <c r="B419" s="5" t="s">
        <v>30</v>
      </c>
      <c r="C419" s="5"/>
      <c r="D419" s="4">
        <v>420190.52</v>
      </c>
      <c r="E419" s="6">
        <v>414262.65</v>
      </c>
      <c r="F419" s="6">
        <f>E419</f>
        <v>414262.65</v>
      </c>
      <c r="G419" s="4">
        <f>E419-F419</f>
        <v>0</v>
      </c>
      <c r="H419" s="4">
        <f>-57336.34+9227.38-5927.87</f>
        <v>-54036.83</v>
      </c>
    </row>
    <row r="420" spans="1:8" ht="22.5">
      <c r="A420" s="4" t="s">
        <v>31</v>
      </c>
      <c r="B420" s="5" t="s">
        <v>32</v>
      </c>
      <c r="C420" s="5"/>
      <c r="D420" s="4"/>
      <c r="E420" s="6"/>
      <c r="F420" s="6"/>
      <c r="G420" s="4"/>
      <c r="H420" s="4"/>
    </row>
    <row r="421" spans="1:8" ht="22.5">
      <c r="A421" s="4" t="s">
        <v>33</v>
      </c>
      <c r="B421" s="5" t="s">
        <v>34</v>
      </c>
      <c r="C421" s="5"/>
      <c r="D421" s="4">
        <v>922259.88</v>
      </c>
      <c r="E421" s="6">
        <v>915707.65</v>
      </c>
      <c r="F421" s="6">
        <f>E421</f>
        <v>915707.65</v>
      </c>
      <c r="G421" s="4">
        <f>E421-F421</f>
        <v>0</v>
      </c>
      <c r="H421" s="4">
        <f>-238215.8+1253-6552.23</f>
        <v>-243515.03</v>
      </c>
    </row>
    <row r="422" spans="1:8" ht="56.25">
      <c r="A422" s="4"/>
      <c r="B422" s="23" t="s">
        <v>389</v>
      </c>
      <c r="C422" s="6">
        <v>10800</v>
      </c>
      <c r="D422" s="6">
        <v>3600</v>
      </c>
      <c r="E422" s="6">
        <v>3600</v>
      </c>
      <c r="F422" s="6"/>
      <c r="G422" s="6">
        <f>C422+E422</f>
        <v>14400</v>
      </c>
      <c r="H422" s="6"/>
    </row>
    <row r="423" spans="1:8" ht="12.75">
      <c r="A423" s="4"/>
      <c r="B423" s="4"/>
      <c r="C423" s="4"/>
      <c r="D423" s="4"/>
      <c r="E423" s="4"/>
      <c r="F423" s="4"/>
      <c r="G423" s="4"/>
      <c r="H423" s="4"/>
    </row>
    <row r="427" ht="12.75" hidden="1"/>
    <row r="428" ht="12.75" hidden="1"/>
    <row r="429" ht="102" customHeight="1"/>
    <row r="430" ht="12.75">
      <c r="A430" t="s">
        <v>0</v>
      </c>
    </row>
    <row r="431" ht="12.75">
      <c r="A431" t="s">
        <v>291</v>
      </c>
    </row>
    <row r="432" ht="12.75">
      <c r="A432" t="s">
        <v>1</v>
      </c>
    </row>
    <row r="433" ht="12.75">
      <c r="A433" t="s">
        <v>416</v>
      </c>
    </row>
    <row r="435" ht="12.75">
      <c r="A435" t="s">
        <v>2</v>
      </c>
    </row>
    <row r="437" ht="12.75">
      <c r="A437" t="s">
        <v>45</v>
      </c>
    </row>
    <row r="438" ht="12.75">
      <c r="A438" t="s">
        <v>96</v>
      </c>
    </row>
    <row r="439" ht="12.75">
      <c r="A439" t="s">
        <v>4</v>
      </c>
    </row>
    <row r="440" ht="12.75">
      <c r="A440" t="s">
        <v>97</v>
      </c>
    </row>
    <row r="441" ht="12.75">
      <c r="A441" t="s">
        <v>5</v>
      </c>
    </row>
    <row r="443" ht="12.75">
      <c r="A443" t="s">
        <v>6</v>
      </c>
    </row>
    <row r="444" ht="12.75">
      <c r="A444" t="s">
        <v>7</v>
      </c>
    </row>
    <row r="446" spans="1:8" ht="12.75">
      <c r="A446" s="4" t="s">
        <v>8</v>
      </c>
      <c r="B446" s="4" t="s">
        <v>13</v>
      </c>
      <c r="C446" s="4" t="s">
        <v>9</v>
      </c>
      <c r="D446" s="4" t="s">
        <v>10</v>
      </c>
      <c r="E446" s="4" t="s">
        <v>15</v>
      </c>
      <c r="F446" s="4" t="s">
        <v>16</v>
      </c>
      <c r="G446" s="4" t="s">
        <v>9</v>
      </c>
      <c r="H446" s="4" t="s">
        <v>11</v>
      </c>
    </row>
    <row r="447" spans="1:8" ht="12.75">
      <c r="A447" s="4"/>
      <c r="B447" s="4"/>
      <c r="C447" s="4" t="s">
        <v>417</v>
      </c>
      <c r="D447" s="4" t="s">
        <v>418</v>
      </c>
      <c r="E447" s="4" t="s">
        <v>14</v>
      </c>
      <c r="F447" s="4" t="s">
        <v>17</v>
      </c>
      <c r="G447" s="4" t="s">
        <v>420</v>
      </c>
      <c r="H447" s="4" t="s">
        <v>12</v>
      </c>
    </row>
    <row r="448" spans="1:8" ht="12.75">
      <c r="A448" s="4"/>
      <c r="B448" s="4"/>
      <c r="C448" s="4"/>
      <c r="D448" s="4"/>
      <c r="E448" s="4" t="s">
        <v>419</v>
      </c>
      <c r="F448" s="4" t="s">
        <v>419</v>
      </c>
      <c r="G448" s="4"/>
      <c r="H448" s="4" t="s">
        <v>421</v>
      </c>
    </row>
    <row r="449" spans="1:8" ht="12.75">
      <c r="A449" s="4"/>
      <c r="B449" s="4"/>
      <c r="C449" s="4"/>
      <c r="D449" s="4"/>
      <c r="E449" s="4"/>
      <c r="F449" s="4"/>
      <c r="G449" s="4"/>
      <c r="H449" s="4"/>
    </row>
    <row r="450" spans="1:8" ht="22.5">
      <c r="A450" s="4">
        <v>1</v>
      </c>
      <c r="B450" s="5" t="s">
        <v>18</v>
      </c>
      <c r="C450" s="6"/>
      <c r="D450" s="6">
        <v>121356.36</v>
      </c>
      <c r="E450" s="6">
        <f>130110.16-14563.1</f>
        <v>115547.06</v>
      </c>
      <c r="F450" s="6">
        <f>D450</f>
        <v>121356.36</v>
      </c>
      <c r="G450" s="6"/>
      <c r="H450" s="6">
        <f>-58760.55+9852-14563.1</f>
        <v>-63471.65</v>
      </c>
    </row>
    <row r="451" spans="1:8" ht="12.75">
      <c r="A451" s="4">
        <v>2</v>
      </c>
      <c r="B451" s="5" t="s">
        <v>21</v>
      </c>
      <c r="C451" s="8"/>
      <c r="D451" s="6"/>
      <c r="E451" s="6"/>
      <c r="F451" s="6"/>
      <c r="G451" s="6"/>
      <c r="H451" s="6"/>
    </row>
    <row r="452" spans="1:8" ht="12.75">
      <c r="A452" s="4">
        <v>3</v>
      </c>
      <c r="B452" s="5" t="s">
        <v>22</v>
      </c>
      <c r="C452" s="8"/>
      <c r="D452" s="6">
        <v>54337.32</v>
      </c>
      <c r="E452" s="6">
        <f>57337.13-5643.81</f>
        <v>51693.32</v>
      </c>
      <c r="F452" s="6">
        <f>D452</f>
        <v>54337.32</v>
      </c>
      <c r="G452" s="6"/>
      <c r="H452" s="6">
        <f>-19258.51+2563-5643.81</f>
        <v>-22339.32</v>
      </c>
    </row>
    <row r="453" spans="1:8" ht="22.5">
      <c r="A453" s="4">
        <v>4</v>
      </c>
      <c r="B453" s="5" t="s">
        <v>23</v>
      </c>
      <c r="C453" s="8"/>
      <c r="D453" s="6"/>
      <c r="E453" s="6"/>
      <c r="F453" s="6"/>
      <c r="G453" s="6"/>
      <c r="H453" s="6"/>
    </row>
    <row r="454" spans="1:8" ht="22.5">
      <c r="A454" s="4">
        <v>5</v>
      </c>
      <c r="B454" s="5" t="s">
        <v>24</v>
      </c>
      <c r="C454" s="8">
        <v>11554.3</v>
      </c>
      <c r="D454" s="6">
        <v>26487.36</v>
      </c>
      <c r="E454" s="6">
        <f>'[1]текущий 2017'!$B$564</f>
        <v>28750.190000000002</v>
      </c>
      <c r="F454" s="6">
        <f>'[1]текущий 2017'!$C$565</f>
        <v>34862.18</v>
      </c>
      <c r="G454" s="6">
        <f>E454-F454+C454</f>
        <v>5442.310000000001</v>
      </c>
      <c r="H454" s="6">
        <v>-17544.41</v>
      </c>
    </row>
    <row r="455" spans="1:8" ht="22.5">
      <c r="A455" s="4">
        <v>6</v>
      </c>
      <c r="B455" s="5" t="s">
        <v>25</v>
      </c>
      <c r="C455" s="8">
        <v>-18531.73</v>
      </c>
      <c r="D455" s="6"/>
      <c r="E455" s="6"/>
      <c r="F455" s="6"/>
      <c r="G455" s="6">
        <v>-18531.73</v>
      </c>
      <c r="H455" s="6">
        <v>-11843.48</v>
      </c>
    </row>
    <row r="456" spans="1:8" ht="22.5">
      <c r="A456" s="24" t="s">
        <v>395</v>
      </c>
      <c r="B456" s="5" t="s">
        <v>397</v>
      </c>
      <c r="C456" s="8">
        <v>47172</v>
      </c>
      <c r="D456" s="6"/>
      <c r="E456" s="6"/>
      <c r="F456" s="6"/>
      <c r="G456" s="6"/>
      <c r="H456" s="6"/>
    </row>
    <row r="457" spans="1:8" ht="22.5">
      <c r="A457" s="4">
        <v>7</v>
      </c>
      <c r="B457" s="5" t="s">
        <v>26</v>
      </c>
      <c r="C457" s="5">
        <f aca="true" t="shared" si="11" ref="C457:H457">C458+C459+C460+C461</f>
        <v>0</v>
      </c>
      <c r="D457" s="5">
        <f t="shared" si="11"/>
        <v>637315.8</v>
      </c>
      <c r="E457" s="8">
        <f t="shared" si="11"/>
        <v>623076.46</v>
      </c>
      <c r="F457" s="8">
        <f t="shared" si="11"/>
        <v>623582.86</v>
      </c>
      <c r="G457" s="5">
        <f t="shared" si="11"/>
        <v>0</v>
      </c>
      <c r="H457" s="5">
        <f t="shared" si="11"/>
        <v>-339628.56999999995</v>
      </c>
    </row>
    <row r="458" spans="1:8" ht="12.75">
      <c r="A458" s="4" t="s">
        <v>27</v>
      </c>
      <c r="B458" s="5" t="s">
        <v>28</v>
      </c>
      <c r="C458" s="5"/>
      <c r="D458" s="4">
        <v>15297.95</v>
      </c>
      <c r="E458" s="6">
        <v>14791.55</v>
      </c>
      <c r="F458" s="6">
        <f>D458</f>
        <v>15297.95</v>
      </c>
      <c r="G458" s="4"/>
      <c r="H458" s="4">
        <f>-506.4</f>
        <v>-506.4</v>
      </c>
    </row>
    <row r="459" spans="1:8" ht="33.75">
      <c r="A459" s="4" t="s">
        <v>29</v>
      </c>
      <c r="B459" s="5" t="s">
        <v>30</v>
      </c>
      <c r="C459" s="5"/>
      <c r="D459" s="4">
        <v>152547.16</v>
      </c>
      <c r="E459" s="6">
        <f>158204.29-12546.13</f>
        <v>145658.16</v>
      </c>
      <c r="F459" s="6">
        <f>E459</f>
        <v>145658.16</v>
      </c>
      <c r="G459" s="4">
        <f>E459-F459</f>
        <v>0</v>
      </c>
      <c r="H459" s="4">
        <f>-116498.18+10258-12546.13</f>
        <v>-118786.31</v>
      </c>
    </row>
    <row r="460" spans="1:8" ht="22.5">
      <c r="A460" s="4" t="s">
        <v>31</v>
      </c>
      <c r="B460" s="5" t="s">
        <v>32</v>
      </c>
      <c r="C460" s="5"/>
      <c r="D460" s="4"/>
      <c r="E460" s="6"/>
      <c r="F460" s="6"/>
      <c r="G460" s="4"/>
      <c r="H460" s="4"/>
    </row>
    <row r="461" spans="1:8" ht="22.5">
      <c r="A461" s="4" t="s">
        <v>33</v>
      </c>
      <c r="B461" s="5" t="s">
        <v>34</v>
      </c>
      <c r="C461" s="5"/>
      <c r="D461" s="4">
        <v>469470.69</v>
      </c>
      <c r="E461" s="6">
        <f>472491.87-9865.12</f>
        <v>462626.75</v>
      </c>
      <c r="F461" s="6">
        <f>E461</f>
        <v>462626.75</v>
      </c>
      <c r="G461" s="4">
        <f>E461-F461</f>
        <v>0</v>
      </c>
      <c r="H461" s="4">
        <f>-190316.74-20154-9865.12</f>
        <v>-220335.86</v>
      </c>
    </row>
    <row r="462" spans="1:8" ht="56.25">
      <c r="A462" s="4"/>
      <c r="B462" s="23" t="s">
        <v>389</v>
      </c>
      <c r="C462" s="6">
        <v>10800</v>
      </c>
      <c r="D462" s="6">
        <v>3600</v>
      </c>
      <c r="E462" s="6">
        <v>3600</v>
      </c>
      <c r="F462" s="6"/>
      <c r="G462" s="6">
        <f>C462+E462</f>
        <v>14400</v>
      </c>
      <c r="H462" s="6"/>
    </row>
    <row r="463" spans="1:8" ht="12.75">
      <c r="A463" s="4"/>
      <c r="B463" s="4"/>
      <c r="C463" s="4"/>
      <c r="D463" s="4"/>
      <c r="E463" s="4"/>
      <c r="F463" s="4"/>
      <c r="G463" s="4"/>
      <c r="H463" s="4"/>
    </row>
    <row r="467" ht="12.75" hidden="1"/>
    <row r="468" ht="12.75" hidden="1"/>
    <row r="469" ht="100.5" customHeight="1"/>
    <row r="470" ht="12.75">
      <c r="A470" t="s">
        <v>0</v>
      </c>
    </row>
    <row r="471" ht="12.75">
      <c r="A471" t="s">
        <v>291</v>
      </c>
    </row>
    <row r="472" ht="12.75">
      <c r="A472" t="s">
        <v>1</v>
      </c>
    </row>
    <row r="473" ht="12.75">
      <c r="A473" t="s">
        <v>416</v>
      </c>
    </row>
    <row r="475" ht="12.75">
      <c r="A475" t="s">
        <v>2</v>
      </c>
    </row>
    <row r="477" ht="12.75">
      <c r="A477" t="s">
        <v>46</v>
      </c>
    </row>
    <row r="478" ht="12.75">
      <c r="A478" t="s">
        <v>98</v>
      </c>
    </row>
    <row r="479" ht="12.75">
      <c r="A479" t="s">
        <v>4</v>
      </c>
    </row>
    <row r="480" ht="12.75">
      <c r="A480" t="s">
        <v>99</v>
      </c>
    </row>
    <row r="481" ht="12.75">
      <c r="A481" t="s">
        <v>5</v>
      </c>
    </row>
    <row r="483" ht="12.75">
      <c r="A483" t="s">
        <v>6</v>
      </c>
    </row>
    <row r="484" ht="12.75">
      <c r="A484" t="s">
        <v>7</v>
      </c>
    </row>
    <row r="486" spans="1:8" ht="12.75">
      <c r="A486" s="4" t="s">
        <v>8</v>
      </c>
      <c r="B486" s="4" t="s">
        <v>13</v>
      </c>
      <c r="C486" s="4" t="s">
        <v>9</v>
      </c>
      <c r="D486" s="4" t="s">
        <v>10</v>
      </c>
      <c r="E486" s="4" t="s">
        <v>15</v>
      </c>
      <c r="F486" s="4" t="s">
        <v>16</v>
      </c>
      <c r="G486" s="4" t="s">
        <v>9</v>
      </c>
      <c r="H486" s="4" t="s">
        <v>11</v>
      </c>
    </row>
    <row r="487" spans="1:8" ht="12.75">
      <c r="A487" s="4"/>
      <c r="B487" s="4"/>
      <c r="C487" s="4" t="s">
        <v>417</v>
      </c>
      <c r="D487" s="4" t="s">
        <v>418</v>
      </c>
      <c r="E487" s="4" t="s">
        <v>14</v>
      </c>
      <c r="F487" s="4" t="s">
        <v>17</v>
      </c>
      <c r="G487" s="4" t="s">
        <v>420</v>
      </c>
      <c r="H487" s="4" t="s">
        <v>12</v>
      </c>
    </row>
    <row r="488" spans="1:8" ht="12.75">
      <c r="A488" s="4"/>
      <c r="B488" s="4"/>
      <c r="C488" s="4"/>
      <c r="D488" s="4"/>
      <c r="E488" s="4" t="s">
        <v>419</v>
      </c>
      <c r="F488" s="4" t="s">
        <v>419</v>
      </c>
      <c r="G488" s="4"/>
      <c r="H488" s="4" t="s">
        <v>421</v>
      </c>
    </row>
    <row r="489" spans="1:8" ht="12.75">
      <c r="A489" s="4"/>
      <c r="B489" s="4"/>
      <c r="C489" s="4"/>
      <c r="D489" s="4"/>
      <c r="E489" s="4"/>
      <c r="F489" s="4"/>
      <c r="G489" s="4"/>
      <c r="H489" s="4"/>
    </row>
    <row r="490" spans="1:8" ht="22.5">
      <c r="A490" s="4">
        <v>1</v>
      </c>
      <c r="B490" s="5" t="s">
        <v>18</v>
      </c>
      <c r="C490" s="6"/>
      <c r="D490" s="6">
        <v>414191.77</v>
      </c>
      <c r="E490" s="6">
        <v>393772.38</v>
      </c>
      <c r="F490" s="6">
        <f>D490</f>
        <v>414191.77</v>
      </c>
      <c r="G490" s="6"/>
      <c r="H490" s="6">
        <f>-57297.56-2704.42-20419.39</f>
        <v>-80421.37</v>
      </c>
    </row>
    <row r="491" spans="1:8" ht="12.75">
      <c r="A491" s="4">
        <v>2</v>
      </c>
      <c r="B491" s="5" t="s">
        <v>21</v>
      </c>
      <c r="C491" s="8"/>
      <c r="D491" s="6"/>
      <c r="E491" s="6"/>
      <c r="F491" s="6"/>
      <c r="G491" s="6"/>
      <c r="H491" s="6"/>
    </row>
    <row r="492" spans="1:8" ht="12.75">
      <c r="A492" s="4">
        <v>3</v>
      </c>
      <c r="B492" s="5" t="s">
        <v>22</v>
      </c>
      <c r="C492" s="8"/>
      <c r="D492" s="6">
        <v>170506.53</v>
      </c>
      <c r="E492" s="6">
        <v>165904.17</v>
      </c>
      <c r="F492" s="6">
        <f>D492</f>
        <v>170506.53</v>
      </c>
      <c r="G492" s="6"/>
      <c r="H492" s="6">
        <f>-20121.17-691.55-4602.036</f>
        <v>-25414.755999999998</v>
      </c>
    </row>
    <row r="493" spans="1:8" ht="22.5">
      <c r="A493" s="4">
        <v>4</v>
      </c>
      <c r="B493" s="5" t="s">
        <v>23</v>
      </c>
      <c r="C493" s="8"/>
      <c r="D493" s="6"/>
      <c r="E493" s="6"/>
      <c r="F493" s="6"/>
      <c r="G493" s="6"/>
      <c r="H493" s="6"/>
    </row>
    <row r="494" spans="1:8" ht="22.5">
      <c r="A494" s="4">
        <v>5</v>
      </c>
      <c r="B494" s="5" t="s">
        <v>24</v>
      </c>
      <c r="C494" s="8">
        <v>70932.69</v>
      </c>
      <c r="D494" s="6">
        <v>91675.66</v>
      </c>
      <c r="E494" s="6">
        <f>'[1]текущий 2017'!$B$615</f>
        <v>92058.22</v>
      </c>
      <c r="F494" s="6">
        <f>'[1]текущий 2017'!$C$616</f>
        <v>100618.04999999999</v>
      </c>
      <c r="G494" s="6">
        <f>C494+E494-F494</f>
        <v>62372.860000000015</v>
      </c>
      <c r="H494" s="6">
        <v>-22501.29</v>
      </c>
    </row>
    <row r="495" spans="1:8" ht="22.5">
      <c r="A495" s="4">
        <v>6</v>
      </c>
      <c r="B495" s="5" t="s">
        <v>25</v>
      </c>
      <c r="C495" s="8">
        <v>0</v>
      </c>
      <c r="D495" s="6"/>
      <c r="E495" s="6">
        <v>0</v>
      </c>
      <c r="F495" s="6"/>
      <c r="G495" s="6">
        <f>C495+E495-F495</f>
        <v>0</v>
      </c>
      <c r="H495" s="6"/>
    </row>
    <row r="496" spans="1:8" ht="22.5">
      <c r="A496" s="24" t="s">
        <v>395</v>
      </c>
      <c r="B496" s="5" t="s">
        <v>397</v>
      </c>
      <c r="C496" s="8">
        <v>164326</v>
      </c>
      <c r="D496" s="6"/>
      <c r="E496" s="6"/>
      <c r="F496" s="6"/>
      <c r="G496" s="6"/>
      <c r="H496" s="6"/>
    </row>
    <row r="497" spans="1:8" ht="22.5">
      <c r="A497" s="4">
        <v>7</v>
      </c>
      <c r="B497" s="5" t="s">
        <v>26</v>
      </c>
      <c r="C497" s="5">
        <f aca="true" t="shared" si="12" ref="C497:H497">C498+C499+C500+C501</f>
        <v>0</v>
      </c>
      <c r="D497" s="5">
        <f t="shared" si="12"/>
        <v>1995524.96</v>
      </c>
      <c r="E497" s="8">
        <f t="shared" si="12"/>
        <v>1943913.95</v>
      </c>
      <c r="F497" s="8">
        <f t="shared" si="12"/>
        <v>1946451.12</v>
      </c>
      <c r="G497" s="5">
        <f t="shared" si="12"/>
        <v>0</v>
      </c>
      <c r="H497" s="5">
        <f t="shared" si="12"/>
        <v>-561601.4099999999</v>
      </c>
    </row>
    <row r="498" spans="1:8" ht="12.75">
      <c r="A498" s="4" t="s">
        <v>27</v>
      </c>
      <c r="B498" s="5" t="s">
        <v>28</v>
      </c>
      <c r="C498" s="5"/>
      <c r="D498" s="4">
        <v>37598.81</v>
      </c>
      <c r="E498" s="6">
        <v>35061.64</v>
      </c>
      <c r="F498" s="6">
        <f>D498</f>
        <v>37598.81</v>
      </c>
      <c r="G498" s="4"/>
      <c r="H498" s="4">
        <v>-2537.17</v>
      </c>
    </row>
    <row r="499" spans="1:8" ht="33.75">
      <c r="A499" s="4" t="s">
        <v>29</v>
      </c>
      <c r="B499" s="5" t="s">
        <v>30</v>
      </c>
      <c r="C499" s="5"/>
      <c r="D499" s="4">
        <v>327427.89</v>
      </c>
      <c r="E499" s="6">
        <v>325644.12</v>
      </c>
      <c r="F499" s="6">
        <f>E499</f>
        <v>325644.12</v>
      </c>
      <c r="G499" s="4">
        <f>E499-F499</f>
        <v>0</v>
      </c>
      <c r="H499" s="4">
        <f>-62809.71+5647-1783.77</f>
        <v>-58946.479999999996</v>
      </c>
    </row>
    <row r="500" spans="1:8" ht="22.5">
      <c r="A500" s="4" t="s">
        <v>31</v>
      </c>
      <c r="B500" s="5" t="s">
        <v>32</v>
      </c>
      <c r="C500" s="5"/>
      <c r="D500" s="4">
        <v>502603.31</v>
      </c>
      <c r="E500" s="6">
        <v>500083.93</v>
      </c>
      <c r="F500" s="6">
        <f>E500</f>
        <v>500083.93</v>
      </c>
      <c r="G500" s="4"/>
      <c r="H500" s="4">
        <f>-113032.08+12365-2519.38</f>
        <v>-103186.46</v>
      </c>
    </row>
    <row r="501" spans="1:8" ht="22.5">
      <c r="A501" s="4" t="s">
        <v>33</v>
      </c>
      <c r="B501" s="5" t="s">
        <v>34</v>
      </c>
      <c r="C501" s="5"/>
      <c r="D501" s="4">
        <v>1127894.95</v>
      </c>
      <c r="E501" s="6">
        <v>1083124.26</v>
      </c>
      <c r="F501" s="6">
        <f>E501</f>
        <v>1083124.26</v>
      </c>
      <c r="G501" s="4">
        <f>E501-F501</f>
        <v>0</v>
      </c>
      <c r="H501" s="4">
        <f>-336471.61-15689-44770.69</f>
        <v>-396931.3</v>
      </c>
    </row>
    <row r="502" spans="1:8" ht="56.25">
      <c r="A502" s="4"/>
      <c r="B502" s="23" t="s">
        <v>389</v>
      </c>
      <c r="C502" s="4">
        <v>10800</v>
      </c>
      <c r="D502" s="4">
        <v>3600</v>
      </c>
      <c r="E502" s="4">
        <v>3600</v>
      </c>
      <c r="F502" s="4"/>
      <c r="G502" s="4">
        <f>C502+E502</f>
        <v>14400</v>
      </c>
      <c r="H502" s="4"/>
    </row>
    <row r="503" spans="1:8" ht="12.75">
      <c r="A503" s="4"/>
      <c r="B503" s="4"/>
      <c r="C503" s="4"/>
      <c r="D503" s="4"/>
      <c r="E503" s="4"/>
      <c r="F503" s="4"/>
      <c r="G503" s="4"/>
      <c r="H503" s="4"/>
    </row>
    <row r="507" ht="12.75" hidden="1"/>
    <row r="508" ht="12.75" hidden="1"/>
    <row r="509" ht="100.5" customHeight="1"/>
    <row r="510" ht="12.75">
      <c r="A510" t="s">
        <v>0</v>
      </c>
    </row>
    <row r="511" ht="12.75">
      <c r="A511" t="s">
        <v>291</v>
      </c>
    </row>
    <row r="512" ht="12.75">
      <c r="A512" t="s">
        <v>1</v>
      </c>
    </row>
    <row r="513" ht="12.75">
      <c r="A513" t="s">
        <v>416</v>
      </c>
    </row>
    <row r="515" ht="12.75">
      <c r="A515" t="s">
        <v>2</v>
      </c>
    </row>
    <row r="517" ht="12.75">
      <c r="A517" t="s">
        <v>47</v>
      </c>
    </row>
    <row r="518" ht="12.75">
      <c r="A518" t="s">
        <v>100</v>
      </c>
    </row>
    <row r="519" ht="12.75">
      <c r="A519" t="s">
        <v>4</v>
      </c>
    </row>
    <row r="520" ht="12.75">
      <c r="A520" t="s">
        <v>101</v>
      </c>
    </row>
    <row r="521" ht="12.75">
      <c r="A521" t="s">
        <v>5</v>
      </c>
    </row>
    <row r="523" ht="12.75">
      <c r="A523" t="s">
        <v>6</v>
      </c>
    </row>
    <row r="524" ht="12.75">
      <c r="A524" t="s">
        <v>7</v>
      </c>
    </row>
    <row r="526" spans="1:8" ht="12.75">
      <c r="A526" s="4" t="s">
        <v>8</v>
      </c>
      <c r="B526" s="4" t="s">
        <v>13</v>
      </c>
      <c r="C526" s="4" t="s">
        <v>9</v>
      </c>
      <c r="D526" s="4" t="s">
        <v>10</v>
      </c>
      <c r="E526" s="4" t="s">
        <v>15</v>
      </c>
      <c r="F526" s="4" t="s">
        <v>16</v>
      </c>
      <c r="G526" s="4" t="s">
        <v>9</v>
      </c>
      <c r="H526" s="4" t="s">
        <v>11</v>
      </c>
    </row>
    <row r="527" spans="1:8" ht="12.75">
      <c r="A527" s="4"/>
      <c r="B527" s="4"/>
      <c r="C527" s="4" t="s">
        <v>417</v>
      </c>
      <c r="D527" s="4" t="s">
        <v>418</v>
      </c>
      <c r="E527" s="4" t="s">
        <v>14</v>
      </c>
      <c r="F527" s="4" t="s">
        <v>17</v>
      </c>
      <c r="G527" s="4" t="s">
        <v>420</v>
      </c>
      <c r="H527" s="4" t="s">
        <v>12</v>
      </c>
    </row>
    <row r="528" spans="1:8" ht="12.75">
      <c r="A528" s="4"/>
      <c r="B528" s="4"/>
      <c r="C528" s="4"/>
      <c r="D528" s="4"/>
      <c r="E528" s="4" t="s">
        <v>419</v>
      </c>
      <c r="F528" s="4" t="s">
        <v>419</v>
      </c>
      <c r="G528" s="4"/>
      <c r="H528" s="4" t="s">
        <v>421</v>
      </c>
    </row>
    <row r="529" spans="1:8" ht="12.75">
      <c r="A529" s="4"/>
      <c r="B529" s="4"/>
      <c r="C529" s="4"/>
      <c r="D529" s="4"/>
      <c r="E529" s="4"/>
      <c r="F529" s="4"/>
      <c r="G529" s="4"/>
      <c r="H529" s="4"/>
    </row>
    <row r="530" spans="1:8" ht="22.5">
      <c r="A530" s="4">
        <v>1</v>
      </c>
      <c r="B530" s="5" t="s">
        <v>18</v>
      </c>
      <c r="C530" s="6"/>
      <c r="D530" s="6">
        <v>314358.95</v>
      </c>
      <c r="E530" s="6">
        <v>308099.97</v>
      </c>
      <c r="F530" s="6">
        <f>D530</f>
        <v>314358.95</v>
      </c>
      <c r="G530" s="6"/>
      <c r="H530" s="6">
        <f>-44213.41+8596-6258.98</f>
        <v>-41876.39</v>
      </c>
    </row>
    <row r="531" spans="1:8" ht="12.75">
      <c r="A531" s="4">
        <v>2</v>
      </c>
      <c r="B531" s="5" t="s">
        <v>21</v>
      </c>
      <c r="C531" s="8"/>
      <c r="D531" s="6"/>
      <c r="E531" s="6"/>
      <c r="F531" s="6"/>
      <c r="G531" s="6"/>
      <c r="H531" s="6"/>
    </row>
    <row r="532" spans="1:8" ht="12.75">
      <c r="A532" s="4">
        <v>3</v>
      </c>
      <c r="B532" s="5" t="s">
        <v>22</v>
      </c>
      <c r="C532" s="8"/>
      <c r="D532" s="6">
        <v>135036.84</v>
      </c>
      <c r="E532" s="6">
        <f>136779.22-5986.3</f>
        <v>130792.92</v>
      </c>
      <c r="F532" s="6">
        <f>D532</f>
        <v>135036.84</v>
      </c>
      <c r="G532" s="6"/>
      <c r="H532" s="6">
        <f>-6501.13-2536-5986.3</f>
        <v>-15023.43</v>
      </c>
    </row>
    <row r="533" spans="1:8" ht="22.5">
      <c r="A533" s="4">
        <v>4</v>
      </c>
      <c r="B533" s="5" t="s">
        <v>23</v>
      </c>
      <c r="C533" s="8"/>
      <c r="D533" s="6"/>
      <c r="E533" s="6"/>
      <c r="F533" s="6"/>
      <c r="G533" s="6"/>
      <c r="H533" s="6"/>
    </row>
    <row r="534" spans="1:8" ht="22.5">
      <c r="A534" s="4">
        <v>5</v>
      </c>
      <c r="B534" s="5" t="s">
        <v>24</v>
      </c>
      <c r="C534" s="8">
        <v>73980.8</v>
      </c>
      <c r="D534" s="6">
        <v>305844.8</v>
      </c>
      <c r="E534" s="6">
        <f>'[1]текущий 2017'!$B$666</f>
        <v>303958.73999999993</v>
      </c>
      <c r="F534" s="6">
        <f>'[1]текущий 2017'!$C$667</f>
        <v>358229.64</v>
      </c>
      <c r="G534" s="6">
        <f>C534+E534-F534</f>
        <v>19709.899999999907</v>
      </c>
      <c r="H534" s="6">
        <f>-25390.91-2566.3</f>
        <v>-27957.21</v>
      </c>
    </row>
    <row r="535" spans="1:8" ht="22.5">
      <c r="A535" s="4">
        <v>6</v>
      </c>
      <c r="B535" s="5" t="s">
        <v>25</v>
      </c>
      <c r="C535" s="8">
        <v>-102901.86</v>
      </c>
      <c r="D535" s="6"/>
      <c r="E535" s="6"/>
      <c r="F535" s="6"/>
      <c r="G535" s="6">
        <v>-102901.86</v>
      </c>
      <c r="H535" s="6">
        <v>-8173.75</v>
      </c>
    </row>
    <row r="536" spans="1:8" ht="22.5">
      <c r="A536" s="4">
        <v>7</v>
      </c>
      <c r="B536" s="5" t="s">
        <v>26</v>
      </c>
      <c r="C536" s="5">
        <f aca="true" t="shared" si="13" ref="C536:H536">C537+C538+C539+C540</f>
        <v>0</v>
      </c>
      <c r="D536" s="5">
        <f t="shared" si="13"/>
        <v>1246892.6400000001</v>
      </c>
      <c r="E536" s="8">
        <f t="shared" si="13"/>
        <v>1233358.1500000001</v>
      </c>
      <c r="F536" s="8">
        <f t="shared" si="13"/>
        <v>1233892.6400000001</v>
      </c>
      <c r="G536" s="5">
        <f t="shared" si="13"/>
        <v>0</v>
      </c>
      <c r="H536" s="5">
        <f t="shared" si="13"/>
        <v>-255463.47</v>
      </c>
    </row>
    <row r="537" spans="1:8" ht="12.75">
      <c r="A537" s="4" t="s">
        <v>27</v>
      </c>
      <c r="B537" s="5" t="s">
        <v>28</v>
      </c>
      <c r="C537" s="5"/>
      <c r="D537" s="4">
        <v>20610.86</v>
      </c>
      <c r="E537" s="6">
        <v>20076.37</v>
      </c>
      <c r="F537" s="6">
        <f>D537</f>
        <v>20610.86</v>
      </c>
      <c r="G537" s="4"/>
      <c r="H537" s="4">
        <f>-534.49</f>
        <v>-534.49</v>
      </c>
    </row>
    <row r="538" spans="1:8" ht="33.75">
      <c r="A538" s="4" t="s">
        <v>29</v>
      </c>
      <c r="B538" s="5" t="s">
        <v>30</v>
      </c>
      <c r="C538" s="5"/>
      <c r="D538" s="4">
        <v>367460.72</v>
      </c>
      <c r="E538" s="6">
        <f>376368.39-14907.67</f>
        <v>361460.72000000003</v>
      </c>
      <c r="F538" s="6">
        <f>E538</f>
        <v>361460.72000000003</v>
      </c>
      <c r="G538" s="4">
        <f>E538-F538</f>
        <v>0</v>
      </c>
      <c r="H538" s="4">
        <f>-46208.53+5879-14907.67</f>
        <v>-55237.2</v>
      </c>
    </row>
    <row r="539" spans="1:8" ht="22.5">
      <c r="A539" s="4" t="s">
        <v>31</v>
      </c>
      <c r="B539" s="5" t="s">
        <v>32</v>
      </c>
      <c r="C539" s="5"/>
      <c r="D539" s="4"/>
      <c r="E539" s="6"/>
      <c r="F539" s="6"/>
      <c r="G539" s="4"/>
      <c r="H539" s="4"/>
    </row>
    <row r="540" spans="1:8" ht="22.5">
      <c r="A540" s="4" t="s">
        <v>33</v>
      </c>
      <c r="B540" s="5" t="s">
        <v>34</v>
      </c>
      <c r="C540" s="5"/>
      <c r="D540" s="4">
        <v>858821.06</v>
      </c>
      <c r="E540" s="6">
        <f>866149-14327.94</f>
        <v>851821.06</v>
      </c>
      <c r="F540" s="6">
        <f>E540</f>
        <v>851821.06</v>
      </c>
      <c r="G540" s="4">
        <f>E540-F540</f>
        <v>0</v>
      </c>
      <c r="H540" s="4">
        <f>-186618.47+1254.63-14327.94</f>
        <v>-199691.78</v>
      </c>
    </row>
    <row r="541" spans="1:8" ht="56.25">
      <c r="A541" s="4"/>
      <c r="B541" s="23" t="s">
        <v>389</v>
      </c>
      <c r="C541" s="4">
        <v>21600</v>
      </c>
      <c r="D541" s="4">
        <v>7200</v>
      </c>
      <c r="E541" s="4">
        <v>7200</v>
      </c>
      <c r="F541" s="4"/>
      <c r="G541" s="4">
        <f>C541+E541</f>
        <v>28800</v>
      </c>
      <c r="H541" s="4"/>
    </row>
    <row r="542" spans="1:8" ht="12.75">
      <c r="A542" s="4"/>
      <c r="B542" s="4"/>
      <c r="C542" s="4"/>
      <c r="D542" s="4"/>
      <c r="E542" s="4"/>
      <c r="F542" s="4"/>
      <c r="G542" s="4"/>
      <c r="H542" s="4"/>
    </row>
    <row r="546" ht="12.75" hidden="1"/>
    <row r="547" ht="12.75" hidden="1"/>
    <row r="548" ht="126.75" customHeight="1"/>
    <row r="549" ht="12.75">
      <c r="A549" t="s">
        <v>0</v>
      </c>
    </row>
    <row r="550" ht="12.75">
      <c r="A550" t="s">
        <v>291</v>
      </c>
    </row>
    <row r="551" ht="12.75">
      <c r="A551" t="s">
        <v>1</v>
      </c>
    </row>
    <row r="552" ht="12.75">
      <c r="A552" t="s">
        <v>416</v>
      </c>
    </row>
    <row r="554" ht="12.75">
      <c r="A554" t="s">
        <v>2</v>
      </c>
    </row>
    <row r="556" ht="12.75">
      <c r="A556" t="s">
        <v>48</v>
      </c>
    </row>
    <row r="557" ht="12.75">
      <c r="A557" t="s">
        <v>102</v>
      </c>
    </row>
    <row r="558" ht="12.75">
      <c r="A558" t="s">
        <v>4</v>
      </c>
    </row>
    <row r="559" ht="12.75">
      <c r="A559" t="s">
        <v>103</v>
      </c>
    </row>
    <row r="560" ht="12.75">
      <c r="A560" t="s">
        <v>5</v>
      </c>
    </row>
    <row r="562" ht="12.75">
      <c r="A562" t="s">
        <v>6</v>
      </c>
    </row>
    <row r="563" ht="12.75">
      <c r="A563" t="s">
        <v>7</v>
      </c>
    </row>
    <row r="565" spans="1:8" ht="12.75">
      <c r="A565" s="4" t="s">
        <v>8</v>
      </c>
      <c r="B565" s="4" t="s">
        <v>13</v>
      </c>
      <c r="C565" s="4" t="s">
        <v>9</v>
      </c>
      <c r="D565" s="4" t="s">
        <v>10</v>
      </c>
      <c r="E565" s="4" t="s">
        <v>15</v>
      </c>
      <c r="F565" s="4" t="s">
        <v>16</v>
      </c>
      <c r="G565" s="4" t="s">
        <v>9</v>
      </c>
      <c r="H565" s="4" t="s">
        <v>11</v>
      </c>
    </row>
    <row r="566" spans="1:8" ht="12.75">
      <c r="A566" s="4"/>
      <c r="B566" s="4"/>
      <c r="C566" s="4" t="s">
        <v>417</v>
      </c>
      <c r="D566" s="4" t="s">
        <v>418</v>
      </c>
      <c r="E566" s="4" t="s">
        <v>14</v>
      </c>
      <c r="F566" s="4" t="s">
        <v>17</v>
      </c>
      <c r="G566" s="4" t="s">
        <v>420</v>
      </c>
      <c r="H566" s="4" t="s">
        <v>12</v>
      </c>
    </row>
    <row r="567" spans="1:8" ht="12.75">
      <c r="A567" s="4"/>
      <c r="B567" s="4"/>
      <c r="C567" s="4"/>
      <c r="D567" s="4"/>
      <c r="E567" s="4" t="s">
        <v>419</v>
      </c>
      <c r="F567" s="4" t="s">
        <v>419</v>
      </c>
      <c r="G567" s="4"/>
      <c r="H567" s="4" t="s">
        <v>421</v>
      </c>
    </row>
    <row r="568" spans="1:8" ht="12.75">
      <c r="A568" s="4"/>
      <c r="B568" s="4"/>
      <c r="C568" s="4"/>
      <c r="D568" s="4"/>
      <c r="E568" s="4"/>
      <c r="F568" s="4"/>
      <c r="G568" s="4"/>
      <c r="H568" s="4"/>
    </row>
    <row r="569" spans="1:8" ht="22.5">
      <c r="A569" s="4">
        <v>1</v>
      </c>
      <c r="B569" s="5" t="s">
        <v>18</v>
      </c>
      <c r="C569" s="6"/>
      <c r="D569" s="6">
        <v>232696.94</v>
      </c>
      <c r="E569" s="6">
        <v>225818.66</v>
      </c>
      <c r="F569" s="6">
        <f>D569</f>
        <v>232696.94</v>
      </c>
      <c r="G569" s="6"/>
      <c r="H569" s="6">
        <f>-47243.39+5263-6878.28</f>
        <v>-48858.67</v>
      </c>
    </row>
    <row r="570" spans="1:8" ht="12.75">
      <c r="A570" s="4">
        <v>2</v>
      </c>
      <c r="B570" s="5" t="s">
        <v>21</v>
      </c>
      <c r="C570" s="8"/>
      <c r="D570" s="6"/>
      <c r="E570" s="6"/>
      <c r="F570" s="6"/>
      <c r="G570" s="6"/>
      <c r="H570" s="6"/>
    </row>
    <row r="571" spans="1:8" ht="12.75">
      <c r="A571" s="4">
        <v>3</v>
      </c>
      <c r="B571" s="5" t="s">
        <v>22</v>
      </c>
      <c r="C571" s="8"/>
      <c r="D571" s="6">
        <v>96354.72</v>
      </c>
      <c r="E571" s="6">
        <v>95835</v>
      </c>
      <c r="F571" s="6">
        <f>D571</f>
        <v>96354.72</v>
      </c>
      <c r="G571" s="6"/>
      <c r="H571" s="6">
        <f>-13334.8+1256-519.72</f>
        <v>-12598.519999999999</v>
      </c>
    </row>
    <row r="572" spans="1:8" ht="22.5">
      <c r="A572" s="4">
        <v>4</v>
      </c>
      <c r="B572" s="5" t="s">
        <v>23</v>
      </c>
      <c r="C572" s="8"/>
      <c r="D572" s="6"/>
      <c r="E572" s="6"/>
      <c r="F572" s="6"/>
      <c r="G572" s="6"/>
      <c r="H572" s="6"/>
    </row>
    <row r="573" spans="1:8" ht="22.5">
      <c r="A573" s="4">
        <v>5</v>
      </c>
      <c r="B573" s="5" t="s">
        <v>24</v>
      </c>
      <c r="C573" s="8">
        <v>82587.26</v>
      </c>
      <c r="D573" s="6">
        <v>239202.54</v>
      </c>
      <c r="E573" s="6">
        <f>'[1]текущий 2017'!$B$717</f>
        <v>219545.92</v>
      </c>
      <c r="F573" s="6">
        <f>'[1]текущий 2017'!$C$718</f>
        <v>259944.54999999996</v>
      </c>
      <c r="G573" s="6">
        <f>E573-F573+C573</f>
        <v>42188.63000000005</v>
      </c>
      <c r="H573" s="6">
        <f>-16933.84+2354</f>
        <v>-14579.84</v>
      </c>
    </row>
    <row r="574" spans="1:8" ht="22.5">
      <c r="A574" s="4">
        <v>6</v>
      </c>
      <c r="B574" s="5" t="s">
        <v>25</v>
      </c>
      <c r="C574" s="8">
        <v>0</v>
      </c>
      <c r="D574" s="6"/>
      <c r="E574" s="6"/>
      <c r="F574" s="6">
        <f>Лист3!D551</f>
        <v>0</v>
      </c>
      <c r="G574" s="6">
        <f>C574+E574-F574</f>
        <v>0</v>
      </c>
      <c r="H574" s="6">
        <v>-4925.83</v>
      </c>
    </row>
    <row r="575" spans="1:8" ht="22.5">
      <c r="A575" s="24" t="s">
        <v>395</v>
      </c>
      <c r="B575" s="5" t="s">
        <v>397</v>
      </c>
      <c r="C575" s="8">
        <v>92415</v>
      </c>
      <c r="D575" s="6"/>
      <c r="E575" s="6"/>
      <c r="F575" s="6"/>
      <c r="G575" s="6"/>
      <c r="H575" s="6"/>
    </row>
    <row r="576" spans="1:8" ht="22.5">
      <c r="A576" s="4">
        <v>7</v>
      </c>
      <c r="B576" s="5" t="s">
        <v>26</v>
      </c>
      <c r="C576" s="5">
        <f aca="true" t="shared" si="14" ref="C576:H576">C577+C578+C579+C580</f>
        <v>0</v>
      </c>
      <c r="D576" s="5">
        <f t="shared" si="14"/>
        <v>1589707.71</v>
      </c>
      <c r="E576" s="8">
        <f t="shared" si="14"/>
        <v>1438550.1400000001</v>
      </c>
      <c r="F576" s="8">
        <f t="shared" si="14"/>
        <v>1441873.5499999998</v>
      </c>
      <c r="G576" s="5">
        <f t="shared" si="14"/>
        <v>0</v>
      </c>
      <c r="H576" s="5">
        <f t="shared" si="14"/>
        <v>-640035.8700000001</v>
      </c>
    </row>
    <row r="577" spans="1:8" ht="12.75">
      <c r="A577" s="4" t="s">
        <v>27</v>
      </c>
      <c r="B577" s="5" t="s">
        <v>28</v>
      </c>
      <c r="C577" s="5"/>
      <c r="D577" s="4">
        <v>37163.97</v>
      </c>
      <c r="E577" s="6">
        <v>33840.56</v>
      </c>
      <c r="F577" s="6">
        <f>D577</f>
        <v>37163.97</v>
      </c>
      <c r="G577" s="4"/>
      <c r="H577" s="4">
        <f>-3323.41</f>
        <v>-3323.41</v>
      </c>
    </row>
    <row r="578" spans="1:8" ht="33.75">
      <c r="A578" s="4" t="s">
        <v>29</v>
      </c>
      <c r="B578" s="5" t="s">
        <v>30</v>
      </c>
      <c r="C578" s="5"/>
      <c r="D578" s="4">
        <v>234724.01</v>
      </c>
      <c r="E578" s="6">
        <v>226637.73</v>
      </c>
      <c r="F578" s="6">
        <f>E578</f>
        <v>226637.73</v>
      </c>
      <c r="G578" s="4">
        <f>E578-F578</f>
        <v>0</v>
      </c>
      <c r="H578" s="4">
        <f>-80751.84-5463</f>
        <v>-86214.84</v>
      </c>
    </row>
    <row r="579" spans="1:8" ht="22.5">
      <c r="A579" s="4" t="s">
        <v>31</v>
      </c>
      <c r="B579" s="5" t="s">
        <v>32</v>
      </c>
      <c r="C579" s="5"/>
      <c r="D579" s="4">
        <v>415726.73</v>
      </c>
      <c r="E579" s="6">
        <v>334627.26</v>
      </c>
      <c r="F579" s="6">
        <f>E579</f>
        <v>334627.26</v>
      </c>
      <c r="G579" s="4"/>
      <c r="H579" s="4">
        <f>-160909.54-65489</f>
        <v>-226398.54</v>
      </c>
    </row>
    <row r="580" spans="1:8" ht="22.5">
      <c r="A580" s="4" t="s">
        <v>33</v>
      </c>
      <c r="B580" s="5" t="s">
        <v>34</v>
      </c>
      <c r="C580" s="5"/>
      <c r="D580" s="4">
        <v>902093</v>
      </c>
      <c r="E580" s="6">
        <v>843444.59</v>
      </c>
      <c r="F580" s="6">
        <f>E580</f>
        <v>843444.59</v>
      </c>
      <c r="G580" s="4">
        <f>E580-F580</f>
        <v>0</v>
      </c>
      <c r="H580" s="4">
        <f>-288410.08-35689</f>
        <v>-324099.08</v>
      </c>
    </row>
    <row r="581" spans="1:8" ht="56.25">
      <c r="A581" s="4"/>
      <c r="B581" s="23" t="s">
        <v>389</v>
      </c>
      <c r="C581" s="4">
        <v>3600</v>
      </c>
      <c r="D581" s="4">
        <v>1800</v>
      </c>
      <c r="E581" s="4">
        <v>1800</v>
      </c>
      <c r="F581" s="4"/>
      <c r="G581" s="4">
        <f>C581+E581</f>
        <v>5400</v>
      </c>
      <c r="H581" s="4"/>
    </row>
    <row r="582" spans="1:8" ht="12.75">
      <c r="A582" s="4"/>
      <c r="B582" s="4"/>
      <c r="C582" s="4"/>
      <c r="D582" s="4"/>
      <c r="E582" s="4"/>
      <c r="F582" s="4"/>
      <c r="G582" s="4"/>
      <c r="H582" s="4"/>
    </row>
    <row r="585" ht="114.75" customHeight="1"/>
    <row r="586" ht="12.75">
      <c r="A586" t="s">
        <v>0</v>
      </c>
    </row>
    <row r="587" ht="12.75">
      <c r="A587" t="s">
        <v>291</v>
      </c>
    </row>
    <row r="588" ht="12.75">
      <c r="A588" t="s">
        <v>1</v>
      </c>
    </row>
    <row r="589" ht="12.75">
      <c r="A589" t="s">
        <v>416</v>
      </c>
    </row>
    <row r="591" ht="12.75">
      <c r="A591" t="s">
        <v>2</v>
      </c>
    </row>
    <row r="593" ht="12.75">
      <c r="A593" t="s">
        <v>49</v>
      </c>
    </row>
    <row r="594" ht="12.75">
      <c r="A594" t="s">
        <v>104</v>
      </c>
    </row>
    <row r="595" ht="12.75">
      <c r="A595" t="s">
        <v>4</v>
      </c>
    </row>
    <row r="596" ht="12.75">
      <c r="A596" t="s">
        <v>105</v>
      </c>
    </row>
    <row r="597" ht="12.75">
      <c r="A597" t="s">
        <v>5</v>
      </c>
    </row>
    <row r="599" ht="12.75">
      <c r="A599" t="s">
        <v>6</v>
      </c>
    </row>
    <row r="600" ht="12.75">
      <c r="A600" t="s">
        <v>7</v>
      </c>
    </row>
    <row r="602" spans="1:8" ht="12.75">
      <c r="A602" s="4" t="s">
        <v>8</v>
      </c>
      <c r="B602" s="4" t="s">
        <v>13</v>
      </c>
      <c r="C602" s="4" t="s">
        <v>9</v>
      </c>
      <c r="D602" s="4" t="s">
        <v>10</v>
      </c>
      <c r="E602" s="4" t="s">
        <v>15</v>
      </c>
      <c r="F602" s="4" t="s">
        <v>16</v>
      </c>
      <c r="G602" s="4" t="s">
        <v>9</v>
      </c>
      <c r="H602" s="4" t="s">
        <v>11</v>
      </c>
    </row>
    <row r="603" spans="1:8" ht="12.75">
      <c r="A603" s="4"/>
      <c r="B603" s="4"/>
      <c r="C603" s="4" t="s">
        <v>417</v>
      </c>
      <c r="D603" s="4" t="s">
        <v>418</v>
      </c>
      <c r="E603" s="4" t="s">
        <v>14</v>
      </c>
      <c r="F603" s="4" t="s">
        <v>17</v>
      </c>
      <c r="G603" s="4" t="s">
        <v>420</v>
      </c>
      <c r="H603" s="4" t="s">
        <v>12</v>
      </c>
    </row>
    <row r="604" spans="1:8" ht="12.75">
      <c r="A604" s="4"/>
      <c r="B604" s="4"/>
      <c r="C604" s="4"/>
      <c r="D604" s="4"/>
      <c r="E604" s="4" t="s">
        <v>419</v>
      </c>
      <c r="F604" s="4" t="s">
        <v>398</v>
      </c>
      <c r="G604" s="4"/>
      <c r="H604" s="4" t="s">
        <v>421</v>
      </c>
    </row>
    <row r="605" spans="1:8" ht="12.75">
      <c r="A605" s="4"/>
      <c r="B605" s="4"/>
      <c r="C605" s="4"/>
      <c r="D605" s="4"/>
      <c r="E605" s="4"/>
      <c r="F605" s="4"/>
      <c r="G605" s="4"/>
      <c r="H605" s="4"/>
    </row>
    <row r="606" spans="1:8" ht="22.5">
      <c r="A606" s="4">
        <v>1</v>
      </c>
      <c r="B606" s="5" t="s">
        <v>18</v>
      </c>
      <c r="C606" s="6"/>
      <c r="D606" s="6">
        <v>308451.09</v>
      </c>
      <c r="E606" s="6">
        <v>301430.28</v>
      </c>
      <c r="F606" s="6">
        <f>D606</f>
        <v>308451.09</v>
      </c>
      <c r="G606" s="6"/>
      <c r="H606" s="6">
        <f>-107019.23+9852-7020.81</f>
        <v>-104188.04</v>
      </c>
    </row>
    <row r="607" spans="1:8" ht="12.75">
      <c r="A607" s="4">
        <v>2</v>
      </c>
      <c r="B607" s="5" t="s">
        <v>21</v>
      </c>
      <c r="C607" s="8"/>
      <c r="D607" s="6"/>
      <c r="E607" s="6"/>
      <c r="F607" s="6"/>
      <c r="G607" s="6"/>
      <c r="H607" s="6"/>
    </row>
    <row r="608" spans="1:8" ht="12.75">
      <c r="A608" s="4">
        <v>3</v>
      </c>
      <c r="B608" s="5" t="s">
        <v>22</v>
      </c>
      <c r="C608" s="8"/>
      <c r="D608" s="6">
        <v>135565.44</v>
      </c>
      <c r="E608" s="6">
        <v>133353.88</v>
      </c>
      <c r="F608" s="6">
        <f>D608</f>
        <v>135565.44</v>
      </c>
      <c r="G608" s="6"/>
      <c r="H608" s="6">
        <f>-33172.54+2563-2211.56</f>
        <v>-32821.1</v>
      </c>
    </row>
    <row r="609" spans="1:8" ht="22.5">
      <c r="A609" s="4">
        <v>4</v>
      </c>
      <c r="B609" s="5" t="s">
        <v>23</v>
      </c>
      <c r="C609" s="8"/>
      <c r="D609" s="6"/>
      <c r="E609" s="6"/>
      <c r="F609" s="6"/>
      <c r="G609" s="6"/>
      <c r="H609" s="6"/>
    </row>
    <row r="610" spans="1:8" ht="22.5">
      <c r="A610" s="4">
        <v>5</v>
      </c>
      <c r="B610" s="5" t="s">
        <v>24</v>
      </c>
      <c r="C610" s="8">
        <v>61076.18</v>
      </c>
      <c r="D610" s="6">
        <f>66082.32+190001</f>
        <v>256083.32</v>
      </c>
      <c r="E610" s="6">
        <f>'[1]текущий 2017'!$B$768</f>
        <v>248004.55000000005</v>
      </c>
      <c r="F610" s="6">
        <f>'[1]текущий 2017'!$C$769</f>
        <v>215429.53</v>
      </c>
      <c r="G610" s="6">
        <f>C610+E610-F610</f>
        <v>93651.20000000004</v>
      </c>
      <c r="H610" s="6">
        <v>-35746.24</v>
      </c>
    </row>
    <row r="611" spans="1:8" ht="22.5">
      <c r="A611" s="4">
        <v>6</v>
      </c>
      <c r="B611" s="5" t="s">
        <v>25</v>
      </c>
      <c r="C611" s="8">
        <v>-1853.19</v>
      </c>
      <c r="D611" s="6"/>
      <c r="E611" s="6"/>
      <c r="F611" s="6">
        <f>Лист3!D588</f>
        <v>0</v>
      </c>
      <c r="G611" s="6">
        <f>C611+E611-F611</f>
        <v>-1853.19</v>
      </c>
      <c r="H611" s="6">
        <v>-1171.3</v>
      </c>
    </row>
    <row r="612" spans="1:8" ht="22.5">
      <c r="A612" s="24" t="s">
        <v>395</v>
      </c>
      <c r="B612" s="5" t="s">
        <v>397</v>
      </c>
      <c r="C612" s="8">
        <v>130576</v>
      </c>
      <c r="D612" s="6"/>
      <c r="E612" s="6"/>
      <c r="F612" s="6"/>
      <c r="G612" s="6"/>
      <c r="H612" s="6"/>
    </row>
    <row r="613" spans="1:8" ht="22.5">
      <c r="A613" s="4">
        <v>7</v>
      </c>
      <c r="B613" s="5" t="s">
        <v>26</v>
      </c>
      <c r="C613" s="5">
        <f aca="true" t="shared" si="15" ref="C613:H613">C614+C615+C616+C617</f>
        <v>0</v>
      </c>
      <c r="D613" s="5">
        <f t="shared" si="15"/>
        <v>1433762.43</v>
      </c>
      <c r="E613" s="8">
        <f t="shared" si="15"/>
        <v>1388986.08</v>
      </c>
      <c r="F613" s="8">
        <f t="shared" si="15"/>
        <v>1390381.4700000002</v>
      </c>
      <c r="G613" s="5">
        <f t="shared" si="15"/>
        <v>0</v>
      </c>
      <c r="H613" s="5">
        <f t="shared" si="15"/>
        <v>1894506158.19</v>
      </c>
    </row>
    <row r="614" spans="1:8" ht="12.75">
      <c r="A614" s="4" t="s">
        <v>27</v>
      </c>
      <c r="B614" s="5" t="s">
        <v>28</v>
      </c>
      <c r="C614" s="5"/>
      <c r="D614" s="4">
        <v>27314.64</v>
      </c>
      <c r="E614" s="6">
        <v>25919.25</v>
      </c>
      <c r="F614" s="6">
        <f>D614</f>
        <v>27314.64</v>
      </c>
      <c r="G614" s="4"/>
      <c r="H614" s="4">
        <v>-1395.39</v>
      </c>
    </row>
    <row r="615" spans="1:8" ht="33.75">
      <c r="A615" s="4" t="s">
        <v>29</v>
      </c>
      <c r="B615" s="5" t="s">
        <v>30</v>
      </c>
      <c r="C615" s="5"/>
      <c r="D615" s="4">
        <v>468606.07</v>
      </c>
      <c r="E615" s="6">
        <v>435748.28</v>
      </c>
      <c r="F615" s="6">
        <f>E615</f>
        <v>435748.28</v>
      </c>
      <c r="G615" s="4">
        <f>E615-F615</f>
        <v>0</v>
      </c>
      <c r="H615" s="4">
        <f>-283431.78-38562-32857.79</f>
        <v>-354851.57</v>
      </c>
    </row>
    <row r="616" spans="1:8" ht="22.5">
      <c r="A616" s="4" t="s">
        <v>31</v>
      </c>
      <c r="B616" s="5" t="s">
        <v>32</v>
      </c>
      <c r="C616" s="5"/>
      <c r="D616" s="4"/>
      <c r="E616" s="6"/>
      <c r="F616" s="6"/>
      <c r="G616" s="4"/>
      <c r="H616" s="4"/>
    </row>
    <row r="617" spans="1:8" ht="22.5">
      <c r="A617" s="4" t="s">
        <v>33</v>
      </c>
      <c r="B617" s="5" t="s">
        <v>34</v>
      </c>
      <c r="C617" s="5"/>
      <c r="D617" s="4">
        <v>937841.72</v>
      </c>
      <c r="E617" s="6">
        <v>927318.55</v>
      </c>
      <c r="F617" s="6">
        <f>E617</f>
        <v>927318.55</v>
      </c>
      <c r="G617" s="4">
        <f>E617-F617</f>
        <v>0</v>
      </c>
      <c r="H617" s="4">
        <f>-348118.02+1895210523.17</f>
        <v>1894862405.15</v>
      </c>
    </row>
    <row r="618" spans="1:8" ht="56.25">
      <c r="A618" s="4"/>
      <c r="B618" s="23" t="s">
        <v>389</v>
      </c>
      <c r="C618" s="4">
        <v>21600</v>
      </c>
      <c r="D618" s="4">
        <v>7200</v>
      </c>
      <c r="E618" s="4">
        <v>7200</v>
      </c>
      <c r="F618" s="4"/>
      <c r="G618" s="4">
        <f>C618+E618</f>
        <v>28800</v>
      </c>
      <c r="H618" s="4"/>
    </row>
    <row r="619" spans="1:8" ht="12.75">
      <c r="A619" s="4"/>
      <c r="B619" s="4"/>
      <c r="C619" s="4"/>
      <c r="D619" s="4"/>
      <c r="E619" s="4"/>
      <c r="F619" s="4"/>
      <c r="G619" s="4"/>
      <c r="H619" s="4"/>
    </row>
    <row r="622" ht="114" customHeight="1"/>
    <row r="623" ht="12.75">
      <c r="A623" t="s">
        <v>0</v>
      </c>
    </row>
    <row r="624" ht="12.75">
      <c r="A624" t="s">
        <v>291</v>
      </c>
    </row>
    <row r="625" ht="12.75">
      <c r="A625" t="s">
        <v>1</v>
      </c>
    </row>
    <row r="626" ht="12.75">
      <c r="A626" t="s">
        <v>416</v>
      </c>
    </row>
    <row r="627" ht="12.75">
      <c r="A627" t="s">
        <v>2</v>
      </c>
    </row>
    <row r="629" ht="12.75">
      <c r="A629" t="s">
        <v>50</v>
      </c>
    </row>
    <row r="630" ht="12.75">
      <c r="A630" t="s">
        <v>260</v>
      </c>
    </row>
    <row r="631" ht="12.75">
      <c r="A631" t="s">
        <v>4</v>
      </c>
    </row>
    <row r="632" ht="12.75">
      <c r="A632" t="s">
        <v>261</v>
      </c>
    </row>
    <row r="633" ht="12.75">
      <c r="A633" t="s">
        <v>5</v>
      </c>
    </row>
    <row r="635" ht="12.75">
      <c r="A635" t="s">
        <v>6</v>
      </c>
    </row>
    <row r="636" ht="12.75">
      <c r="A636" t="s">
        <v>7</v>
      </c>
    </row>
    <row r="638" spans="1:8" ht="12.75">
      <c r="A638" s="4" t="s">
        <v>8</v>
      </c>
      <c r="B638" s="4" t="s">
        <v>13</v>
      </c>
      <c r="C638" s="4" t="s">
        <v>9</v>
      </c>
      <c r="D638" s="4" t="s">
        <v>10</v>
      </c>
      <c r="E638" s="4" t="s">
        <v>15</v>
      </c>
      <c r="F638" s="4" t="s">
        <v>16</v>
      </c>
      <c r="G638" s="4" t="s">
        <v>9</v>
      </c>
      <c r="H638" s="4" t="s">
        <v>11</v>
      </c>
    </row>
    <row r="639" spans="1:8" ht="12.75">
      <c r="A639" s="4"/>
      <c r="B639" s="4"/>
      <c r="C639" s="4" t="s">
        <v>417</v>
      </c>
      <c r="D639" s="4" t="s">
        <v>418</v>
      </c>
      <c r="E639" s="4" t="s">
        <v>14</v>
      </c>
      <c r="F639" s="4" t="s">
        <v>17</v>
      </c>
      <c r="G639" s="4" t="s">
        <v>420</v>
      </c>
      <c r="H639" s="4" t="s">
        <v>12</v>
      </c>
    </row>
    <row r="640" spans="1:8" ht="12.75">
      <c r="A640" s="4"/>
      <c r="B640" s="4"/>
      <c r="C640" s="4"/>
      <c r="D640" s="4"/>
      <c r="E640" s="4" t="s">
        <v>419</v>
      </c>
      <c r="F640" s="4" t="s">
        <v>419</v>
      </c>
      <c r="G640" s="4"/>
      <c r="H640" s="4" t="s">
        <v>421</v>
      </c>
    </row>
    <row r="641" spans="1:8" ht="12.75">
      <c r="A641" s="4"/>
      <c r="B641" s="4"/>
      <c r="C641" s="4"/>
      <c r="D641" s="4"/>
      <c r="E641" s="4"/>
      <c r="F641" s="4"/>
      <c r="G641" s="4"/>
      <c r="H641" s="4"/>
    </row>
    <row r="642" spans="1:8" ht="22.5">
      <c r="A642" s="4">
        <v>1</v>
      </c>
      <c r="B642" s="5" t="s">
        <v>18</v>
      </c>
      <c r="C642" s="6"/>
      <c r="D642" s="6">
        <v>272532.03</v>
      </c>
      <c r="E642" s="6">
        <v>268542.36</v>
      </c>
      <c r="F642" s="6">
        <f>D642</f>
        <v>272532.03</v>
      </c>
      <c r="G642" s="6"/>
      <c r="H642" s="6">
        <f>-27484.12-5645-3989.67</f>
        <v>-37118.78999999999</v>
      </c>
    </row>
    <row r="643" spans="1:8" ht="12.75">
      <c r="A643" s="4">
        <v>2</v>
      </c>
      <c r="B643" s="5" t="s">
        <v>21</v>
      </c>
      <c r="C643" s="8"/>
      <c r="D643" s="6"/>
      <c r="E643" s="6"/>
      <c r="F643" s="6"/>
      <c r="G643" s="6"/>
      <c r="H643" s="6"/>
    </row>
    <row r="644" spans="1:8" ht="12.75">
      <c r="A644" s="4">
        <v>3</v>
      </c>
      <c r="B644" s="5" t="s">
        <v>22</v>
      </c>
      <c r="C644" s="8"/>
      <c r="D644" s="6">
        <v>113760.39</v>
      </c>
      <c r="E644" s="6">
        <v>109546.36</v>
      </c>
      <c r="F644" s="6">
        <f>D644</f>
        <v>113760.39</v>
      </c>
      <c r="G644" s="6"/>
      <c r="H644" s="6">
        <f>-11461.2-1786.3-4214.03</f>
        <v>-17461.53</v>
      </c>
    </row>
    <row r="645" spans="1:8" ht="22.5">
      <c r="A645" s="4">
        <v>4</v>
      </c>
      <c r="B645" s="5" t="s">
        <v>23</v>
      </c>
      <c r="C645" s="8"/>
      <c r="D645" s="6"/>
      <c r="E645" s="6"/>
      <c r="F645" s="6"/>
      <c r="G645" s="6"/>
      <c r="H645" s="6"/>
    </row>
    <row r="646" spans="1:8" ht="22.5">
      <c r="A646" s="4">
        <v>5</v>
      </c>
      <c r="B646" s="5" t="s">
        <v>24</v>
      </c>
      <c r="C646" s="8">
        <v>200544.01</v>
      </c>
      <c r="D646" s="6">
        <f>54643.66+171000</f>
        <v>225643.66</v>
      </c>
      <c r="E646" s="6">
        <f>'[1]текущий 2017'!$B$819</f>
        <v>228256.83000000002</v>
      </c>
      <c r="F646" s="6">
        <f>'[1]текущий 2017'!$C$820</f>
        <v>363996.61</v>
      </c>
      <c r="G646" s="6">
        <f>C646+E646-F646</f>
        <v>64804.23000000004</v>
      </c>
      <c r="H646" s="6">
        <f>-10011.57-1029+2613.17</f>
        <v>-8427.4</v>
      </c>
    </row>
    <row r="647" spans="1:8" ht="22.5">
      <c r="A647" s="4">
        <v>6</v>
      </c>
      <c r="B647" s="5" t="s">
        <v>25</v>
      </c>
      <c r="C647" s="8">
        <v>0</v>
      </c>
      <c r="D647" s="6"/>
      <c r="E647" s="6">
        <f>G647-C647</f>
        <v>0</v>
      </c>
      <c r="F647" s="6"/>
      <c r="G647" s="6">
        <f>C647+E647-F647</f>
        <v>0</v>
      </c>
      <c r="H647" s="6"/>
    </row>
    <row r="648" spans="1:8" ht="22.5">
      <c r="A648" s="4">
        <v>7</v>
      </c>
      <c r="B648" s="5" t="s">
        <v>26</v>
      </c>
      <c r="C648" s="5">
        <f aca="true" t="shared" si="16" ref="C648:H648">C649+C650+C651+C652</f>
        <v>0</v>
      </c>
      <c r="D648" s="5">
        <f t="shared" si="16"/>
        <v>1195152.35</v>
      </c>
      <c r="E648" s="8">
        <f t="shared" si="16"/>
        <v>1174497.17</v>
      </c>
      <c r="F648" s="8">
        <f t="shared" si="16"/>
        <v>1175485.65</v>
      </c>
      <c r="G648" s="5">
        <f t="shared" si="16"/>
        <v>0</v>
      </c>
      <c r="H648" s="5">
        <f t="shared" si="16"/>
        <v>-342118.31</v>
      </c>
    </row>
    <row r="649" spans="1:8" ht="12.75">
      <c r="A649" s="4" t="s">
        <v>27</v>
      </c>
      <c r="B649" s="5" t="s">
        <v>28</v>
      </c>
      <c r="C649" s="5"/>
      <c r="D649" s="4">
        <v>22134.15</v>
      </c>
      <c r="E649" s="6">
        <v>21145.67</v>
      </c>
      <c r="F649" s="6">
        <f>D649</f>
        <v>22134.15</v>
      </c>
      <c r="G649" s="4"/>
      <c r="H649" s="4">
        <f>-988.48</f>
        <v>-988.48</v>
      </c>
    </row>
    <row r="650" spans="1:8" ht="33.75">
      <c r="A650" s="4" t="s">
        <v>29</v>
      </c>
      <c r="B650" s="5" t="s">
        <v>30</v>
      </c>
      <c r="C650" s="5"/>
      <c r="D650" s="4">
        <v>224545.8</v>
      </c>
      <c r="E650" s="6">
        <v>220145.6</v>
      </c>
      <c r="F650" s="6">
        <f>E650</f>
        <v>220145.6</v>
      </c>
      <c r="G650" s="4">
        <f>E650-F650</f>
        <v>0</v>
      </c>
      <c r="H650" s="4">
        <f>-15847.73-7563-4400.2</f>
        <v>-27810.93</v>
      </c>
    </row>
    <row r="651" spans="1:8" ht="22.5">
      <c r="A651" s="4" t="s">
        <v>31</v>
      </c>
      <c r="B651" s="5" t="s">
        <v>32</v>
      </c>
      <c r="C651" s="5"/>
      <c r="D651" s="4">
        <v>166876.37</v>
      </c>
      <c r="E651" s="6">
        <v>164253.6</v>
      </c>
      <c r="F651" s="6">
        <f>E651</f>
        <v>164253.6</v>
      </c>
      <c r="G651" s="4"/>
      <c r="H651" s="4">
        <f>-7259.28-4563-2622.77</f>
        <v>-14445.05</v>
      </c>
    </row>
    <row r="652" spans="1:8" ht="22.5">
      <c r="A652" s="4" t="s">
        <v>33</v>
      </c>
      <c r="B652" s="5" t="s">
        <v>34</v>
      </c>
      <c r="C652" s="5"/>
      <c r="D652" s="4">
        <v>781596.03</v>
      </c>
      <c r="E652" s="6">
        <v>768952.3</v>
      </c>
      <c r="F652" s="6">
        <f>E652</f>
        <v>768952.3</v>
      </c>
      <c r="G652" s="4">
        <f>E652-F652</f>
        <v>0</v>
      </c>
      <c r="H652" s="4">
        <f>-247689.12-38541-12643.73</f>
        <v>-298873.85</v>
      </c>
    </row>
    <row r="653" spans="1:8" ht="56.25">
      <c r="A653" s="4"/>
      <c r="B653" s="23" t="s">
        <v>389</v>
      </c>
      <c r="C653" s="4">
        <v>21600</v>
      </c>
      <c r="D653" s="4">
        <v>7200</v>
      </c>
      <c r="E653" s="4">
        <v>7200</v>
      </c>
      <c r="F653" s="4"/>
      <c r="G653" s="4">
        <f>C653+E653</f>
        <v>28800</v>
      </c>
      <c r="H653" s="4"/>
    </row>
    <row r="654" spans="1:8" ht="12.75">
      <c r="A654" s="4"/>
      <c r="B654" s="4"/>
      <c r="C654" s="4"/>
      <c r="D654" s="4"/>
      <c r="E654" s="4"/>
      <c r="F654" s="4"/>
      <c r="G654" s="4"/>
      <c r="H654" s="4"/>
    </row>
    <row r="658" ht="139.5" customHeight="1"/>
    <row r="659" ht="12.75">
      <c r="A659" t="s">
        <v>0</v>
      </c>
    </row>
    <row r="660" ht="12.75">
      <c r="A660" t="s">
        <v>291</v>
      </c>
    </row>
    <row r="661" ht="12.75">
      <c r="A661" t="s">
        <v>1</v>
      </c>
    </row>
    <row r="662" ht="12.75">
      <c r="A662" t="s">
        <v>416</v>
      </c>
    </row>
    <row r="664" ht="12.75">
      <c r="A664" t="s">
        <v>2</v>
      </c>
    </row>
    <row r="666" ht="12.75">
      <c r="A666" t="s">
        <v>51</v>
      </c>
    </row>
    <row r="667" ht="12.75">
      <c r="A667" t="s">
        <v>106</v>
      </c>
    </row>
    <row r="668" ht="12.75">
      <c r="A668" t="s">
        <v>4</v>
      </c>
    </row>
    <row r="669" ht="12.75">
      <c r="A669" t="s">
        <v>107</v>
      </c>
    </row>
    <row r="670" ht="12.75">
      <c r="A670" t="s">
        <v>5</v>
      </c>
    </row>
    <row r="672" ht="12.75">
      <c r="A672" t="s">
        <v>6</v>
      </c>
    </row>
    <row r="673" ht="12.75">
      <c r="A673" t="s">
        <v>7</v>
      </c>
    </row>
    <row r="675" spans="1:8" ht="12.75">
      <c r="A675" s="4" t="s">
        <v>8</v>
      </c>
      <c r="B675" s="4" t="s">
        <v>13</v>
      </c>
      <c r="C675" s="4" t="s">
        <v>9</v>
      </c>
      <c r="D675" s="4" t="s">
        <v>10</v>
      </c>
      <c r="E675" s="4" t="s">
        <v>15</v>
      </c>
      <c r="F675" s="4" t="s">
        <v>16</v>
      </c>
      <c r="G675" s="4" t="s">
        <v>9</v>
      </c>
      <c r="H675" s="4" t="s">
        <v>11</v>
      </c>
    </row>
    <row r="676" spans="1:8" ht="12.75">
      <c r="A676" s="4"/>
      <c r="B676" s="4"/>
      <c r="C676" s="4" t="s">
        <v>417</v>
      </c>
      <c r="D676" s="4" t="s">
        <v>418</v>
      </c>
      <c r="E676" s="4" t="s">
        <v>14</v>
      </c>
      <c r="F676" s="4" t="s">
        <v>17</v>
      </c>
      <c r="G676" s="4" t="s">
        <v>420</v>
      </c>
      <c r="H676" s="4" t="s">
        <v>12</v>
      </c>
    </row>
    <row r="677" spans="1:8" ht="12.75">
      <c r="A677" s="4"/>
      <c r="B677" s="4"/>
      <c r="C677" s="4"/>
      <c r="D677" s="4"/>
      <c r="E677" s="4" t="s">
        <v>419</v>
      </c>
      <c r="F677" s="4" t="s">
        <v>419</v>
      </c>
      <c r="G677" s="4"/>
      <c r="H677" s="4" t="s">
        <v>421</v>
      </c>
    </row>
    <row r="678" spans="1:8" ht="12.75">
      <c r="A678" s="4"/>
      <c r="B678" s="4"/>
      <c r="C678" s="4"/>
      <c r="D678" s="4"/>
      <c r="E678" s="4"/>
      <c r="F678" s="4"/>
      <c r="G678" s="4"/>
      <c r="H678" s="4"/>
    </row>
    <row r="679" spans="1:8" ht="22.5">
      <c r="A679" s="4">
        <v>1</v>
      </c>
      <c r="B679" s="5" t="s">
        <v>18</v>
      </c>
      <c r="C679" s="6"/>
      <c r="D679" s="6">
        <v>323882.49</v>
      </c>
      <c r="E679" s="6">
        <v>320881.13</v>
      </c>
      <c r="F679" s="6">
        <f>D679</f>
        <v>323882.49</v>
      </c>
      <c r="G679" s="6"/>
      <c r="H679" s="6">
        <f>-36111.24-12456-3001.36</f>
        <v>-51568.6</v>
      </c>
    </row>
    <row r="680" spans="1:8" ht="12.75">
      <c r="A680" s="4">
        <v>2</v>
      </c>
      <c r="B680" s="5" t="s">
        <v>21</v>
      </c>
      <c r="C680" s="8"/>
      <c r="D680" s="6"/>
      <c r="E680" s="6"/>
      <c r="F680" s="6"/>
      <c r="G680" s="6"/>
      <c r="H680" s="6"/>
    </row>
    <row r="681" spans="1:8" ht="12.75">
      <c r="A681" s="4">
        <v>3</v>
      </c>
      <c r="B681" s="5" t="s">
        <v>22</v>
      </c>
      <c r="C681" s="8"/>
      <c r="D681" s="6">
        <v>137549.43</v>
      </c>
      <c r="E681" s="6">
        <v>135539.1</v>
      </c>
      <c r="F681" s="6">
        <f>D681</f>
        <v>137549.43</v>
      </c>
      <c r="G681" s="6"/>
      <c r="H681" s="6">
        <f>-9106-4563-3010.33</f>
        <v>-16679.33</v>
      </c>
    </row>
    <row r="682" spans="1:8" ht="22.5">
      <c r="A682" s="4">
        <v>4</v>
      </c>
      <c r="B682" s="5" t="s">
        <v>23</v>
      </c>
      <c r="C682" s="8"/>
      <c r="D682" s="6"/>
      <c r="E682" s="6"/>
      <c r="F682" s="6"/>
      <c r="G682" s="6"/>
      <c r="H682" s="6"/>
    </row>
    <row r="683" spans="1:8" ht="22.5">
      <c r="A683" s="4">
        <v>5</v>
      </c>
      <c r="B683" s="5" t="s">
        <v>24</v>
      </c>
      <c r="C683" s="8">
        <v>44867.22</v>
      </c>
      <c r="D683" s="6">
        <v>73960.71</v>
      </c>
      <c r="E683" s="6">
        <f>'[1]текущий 2017'!$B$862</f>
        <v>169477.56</v>
      </c>
      <c r="F683" s="6">
        <f>'[1]текущий 2017'!$C$863</f>
        <v>20983.09</v>
      </c>
      <c r="G683" s="6">
        <f>C683+E683-F683</f>
        <v>193361.69</v>
      </c>
      <c r="H683" s="6">
        <v>-12238.62</v>
      </c>
    </row>
    <row r="684" spans="1:8" ht="22.5">
      <c r="A684" s="4">
        <v>6</v>
      </c>
      <c r="B684" s="5" t="s">
        <v>25</v>
      </c>
      <c r="C684" s="8">
        <v>90264.79</v>
      </c>
      <c r="D684" s="6"/>
      <c r="E684" s="6"/>
      <c r="F684" s="6">
        <v>90264.79</v>
      </c>
      <c r="G684" s="6">
        <v>0</v>
      </c>
      <c r="H684" s="6"/>
    </row>
    <row r="685" spans="1:8" ht="22.5">
      <c r="A685" s="24" t="s">
        <v>395</v>
      </c>
      <c r="B685" s="5" t="s">
        <v>397</v>
      </c>
      <c r="C685" s="8">
        <v>130019</v>
      </c>
      <c r="D685" s="6"/>
      <c r="E685" s="6"/>
      <c r="F685" s="6"/>
      <c r="G685" s="6"/>
      <c r="H685" s="6"/>
    </row>
    <row r="686" spans="1:8" ht="22.5">
      <c r="A686" s="4">
        <v>7</v>
      </c>
      <c r="B686" s="5" t="s">
        <v>26</v>
      </c>
      <c r="C686" s="5">
        <f aca="true" t="shared" si="17" ref="C686:H686">C687+C688+C689+C690</f>
        <v>0</v>
      </c>
      <c r="D686" s="5">
        <f t="shared" si="17"/>
        <v>2058937.0899999999</v>
      </c>
      <c r="E686" s="8">
        <f t="shared" si="17"/>
        <v>2047034.47</v>
      </c>
      <c r="F686" s="8">
        <f t="shared" si="17"/>
        <v>2048226.09</v>
      </c>
      <c r="G686" s="5">
        <f t="shared" si="17"/>
        <v>0</v>
      </c>
      <c r="H686" s="5">
        <f t="shared" si="17"/>
        <v>-554386.8200000001</v>
      </c>
    </row>
    <row r="687" spans="1:8" ht="12.75">
      <c r="A687" s="4" t="s">
        <v>27</v>
      </c>
      <c r="B687" s="5" t="s">
        <v>28</v>
      </c>
      <c r="C687" s="5"/>
      <c r="D687" s="4">
        <v>31504.7</v>
      </c>
      <c r="E687" s="6">
        <v>30313.08</v>
      </c>
      <c r="F687" s="6">
        <f>D687</f>
        <v>31504.7</v>
      </c>
      <c r="G687" s="4"/>
      <c r="H687" s="4">
        <f>-1191.62</f>
        <v>-1191.62</v>
      </c>
    </row>
    <row r="688" spans="1:8" ht="33.75">
      <c r="A688" s="4" t="s">
        <v>29</v>
      </c>
      <c r="B688" s="5" t="s">
        <v>30</v>
      </c>
      <c r="C688" s="5"/>
      <c r="D688" s="4">
        <v>314561.84</v>
      </c>
      <c r="E688" s="6">
        <v>310103.15</v>
      </c>
      <c r="F688" s="6">
        <f>E688</f>
        <v>310103.15</v>
      </c>
      <c r="G688" s="4">
        <f>E688-F688</f>
        <v>0</v>
      </c>
      <c r="H688" s="4">
        <f>-52821.85-18563-4458.69</f>
        <v>-75843.54000000001</v>
      </c>
    </row>
    <row r="689" spans="1:8" ht="22.5">
      <c r="A689" s="4" t="s">
        <v>31</v>
      </c>
      <c r="B689" s="5" t="s">
        <v>32</v>
      </c>
      <c r="C689" s="5"/>
      <c r="D689" s="4">
        <v>524532.41</v>
      </c>
      <c r="E689" s="6">
        <v>520894.72</v>
      </c>
      <c r="F689" s="6">
        <f>E689</f>
        <v>520894.72</v>
      </c>
      <c r="G689" s="4"/>
      <c r="H689" s="4">
        <f>-75143.98-49852-3637.69</f>
        <v>-128633.67</v>
      </c>
    </row>
    <row r="690" spans="1:8" ht="22.5">
      <c r="A690" s="4" t="s">
        <v>33</v>
      </c>
      <c r="B690" s="5" t="s">
        <v>34</v>
      </c>
      <c r="C690" s="5"/>
      <c r="D690" s="4">
        <v>1188338.14</v>
      </c>
      <c r="E690" s="6">
        <v>1185723.52</v>
      </c>
      <c r="F690" s="6">
        <f>E690</f>
        <v>1185723.52</v>
      </c>
      <c r="G690" s="4">
        <f>E690-F690</f>
        <v>0</v>
      </c>
      <c r="H690" s="4">
        <f>-295856.37-50247-2614.62</f>
        <v>-348717.99</v>
      </c>
    </row>
    <row r="691" spans="1:8" ht="56.25">
      <c r="A691" s="4"/>
      <c r="B691" s="23" t="s">
        <v>389</v>
      </c>
      <c r="C691" s="4">
        <v>21600</v>
      </c>
      <c r="D691" s="4">
        <v>7200</v>
      </c>
      <c r="E691" s="4">
        <v>7200</v>
      </c>
      <c r="F691" s="4">
        <v>1046.95</v>
      </c>
      <c r="G691" s="4">
        <f>C691+E691-F691</f>
        <v>27753.05</v>
      </c>
      <c r="H691" s="4"/>
    </row>
    <row r="692" spans="1:8" ht="12.75">
      <c r="A692" s="4"/>
      <c r="B692" s="4"/>
      <c r="C692" s="4"/>
      <c r="D692" s="4"/>
      <c r="E692" s="4"/>
      <c r="F692" s="4"/>
      <c r="G692" s="4"/>
      <c r="H692" s="4"/>
    </row>
    <row r="695" ht="114" customHeight="1"/>
    <row r="696" ht="12.75">
      <c r="A696" t="s">
        <v>0</v>
      </c>
    </row>
    <row r="697" ht="12.75">
      <c r="A697" t="s">
        <v>291</v>
      </c>
    </row>
    <row r="698" ht="12.75">
      <c r="A698" t="s">
        <v>1</v>
      </c>
    </row>
    <row r="699" ht="12.75">
      <c r="A699" t="s">
        <v>416</v>
      </c>
    </row>
    <row r="701" ht="12.75">
      <c r="A701" t="s">
        <v>2</v>
      </c>
    </row>
    <row r="703" ht="12.75">
      <c r="A703" t="s">
        <v>52</v>
      </c>
    </row>
    <row r="704" ht="12.75">
      <c r="A704" t="s">
        <v>108</v>
      </c>
    </row>
    <row r="705" ht="12.75">
      <c r="A705" t="s">
        <v>4</v>
      </c>
    </row>
    <row r="706" ht="12.75">
      <c r="A706" t="s">
        <v>109</v>
      </c>
    </row>
    <row r="707" ht="12.75">
      <c r="A707" t="s">
        <v>110</v>
      </c>
    </row>
    <row r="709" ht="12.75">
      <c r="A709" t="s">
        <v>6</v>
      </c>
    </row>
    <row r="710" ht="12.75">
      <c r="A710" t="s">
        <v>7</v>
      </c>
    </row>
    <row r="712" spans="1:8" ht="12.75">
      <c r="A712" s="4" t="s">
        <v>8</v>
      </c>
      <c r="B712" s="4" t="s">
        <v>13</v>
      </c>
      <c r="C712" s="4" t="s">
        <v>9</v>
      </c>
      <c r="D712" s="4" t="s">
        <v>10</v>
      </c>
      <c r="E712" s="4" t="s">
        <v>15</v>
      </c>
      <c r="F712" s="4" t="s">
        <v>16</v>
      </c>
      <c r="G712" s="4" t="s">
        <v>9</v>
      </c>
      <c r="H712" s="4" t="s">
        <v>11</v>
      </c>
    </row>
    <row r="713" spans="1:8" ht="12.75">
      <c r="A713" s="4"/>
      <c r="B713" s="4"/>
      <c r="C713" s="4" t="s">
        <v>417</v>
      </c>
      <c r="D713" s="4" t="s">
        <v>418</v>
      </c>
      <c r="E713" s="4" t="s">
        <v>14</v>
      </c>
      <c r="F713" s="4" t="s">
        <v>17</v>
      </c>
      <c r="G713" s="4" t="s">
        <v>420</v>
      </c>
      <c r="H713" s="4" t="s">
        <v>12</v>
      </c>
    </row>
    <row r="714" spans="1:8" ht="12.75">
      <c r="A714" s="4"/>
      <c r="B714" s="4"/>
      <c r="C714" s="4"/>
      <c r="D714" s="4"/>
      <c r="E714" s="4" t="s">
        <v>419</v>
      </c>
      <c r="F714" s="4" t="s">
        <v>419</v>
      </c>
      <c r="G714" s="4"/>
      <c r="H714" s="4" t="s">
        <v>421</v>
      </c>
    </row>
    <row r="715" spans="1:8" ht="12.75">
      <c r="A715" s="4"/>
      <c r="B715" s="4"/>
      <c r="C715" s="4"/>
      <c r="D715" s="4"/>
      <c r="E715" s="4"/>
      <c r="F715" s="4"/>
      <c r="G715" s="4"/>
      <c r="H715" s="4"/>
    </row>
    <row r="716" spans="1:8" ht="22.5">
      <c r="A716" s="4">
        <v>1</v>
      </c>
      <c r="B716" s="5" t="s">
        <v>18</v>
      </c>
      <c r="C716" s="6"/>
      <c r="D716" s="6">
        <v>308076.36</v>
      </c>
      <c r="E716" s="6">
        <v>305111.73</v>
      </c>
      <c r="F716" s="6">
        <f>D716</f>
        <v>308076.36</v>
      </c>
      <c r="G716" s="6"/>
      <c r="H716" s="6">
        <f>-89103.16+4589-2964.63</f>
        <v>-87478.79000000001</v>
      </c>
    </row>
    <row r="717" spans="1:8" ht="12.75">
      <c r="A717" s="4">
        <v>2</v>
      </c>
      <c r="B717" s="5" t="s">
        <v>21</v>
      </c>
      <c r="C717" s="8"/>
      <c r="D717" s="6"/>
      <c r="E717" s="6"/>
      <c r="F717" s="6"/>
      <c r="G717" s="6"/>
      <c r="H717" s="6"/>
    </row>
    <row r="718" spans="1:8" ht="12.75">
      <c r="A718" s="4">
        <v>3</v>
      </c>
      <c r="B718" s="5" t="s">
        <v>22</v>
      </c>
      <c r="C718" s="8"/>
      <c r="D718" s="6">
        <v>130845.09</v>
      </c>
      <c r="E718" s="6">
        <v>129343.33</v>
      </c>
      <c r="F718" s="6">
        <f>D718</f>
        <v>130845.09</v>
      </c>
      <c r="G718" s="6"/>
      <c r="H718" s="6">
        <f>-12000.71+2589-1501.76</f>
        <v>-10913.47</v>
      </c>
    </row>
    <row r="719" spans="1:8" ht="22.5">
      <c r="A719" s="4">
        <v>4</v>
      </c>
      <c r="B719" s="5" t="s">
        <v>23</v>
      </c>
      <c r="C719" s="8"/>
      <c r="D719" s="6"/>
      <c r="E719" s="6"/>
      <c r="F719" s="6"/>
      <c r="G719" s="6"/>
      <c r="H719" s="6"/>
    </row>
    <row r="720" spans="1:8" ht="22.5">
      <c r="A720" s="4">
        <v>5</v>
      </c>
      <c r="B720" s="5" t="s">
        <v>24</v>
      </c>
      <c r="C720" s="8">
        <v>-91557.62</v>
      </c>
      <c r="D720" s="6">
        <v>70351.08</v>
      </c>
      <c r="E720" s="6">
        <f>'[1]текущий 2017'!$B$913</f>
        <v>222358.93000000005</v>
      </c>
      <c r="F720" s="6">
        <f>'[1]текущий 2017'!$C$914</f>
        <v>115140.4</v>
      </c>
      <c r="G720" s="6">
        <f>C720+E720-F720</f>
        <v>15660.910000000062</v>
      </c>
      <c r="H720" s="6">
        <v>-19353.71</v>
      </c>
    </row>
    <row r="721" spans="1:8" ht="22.5">
      <c r="A721" s="4">
        <v>6</v>
      </c>
      <c r="B721" s="5" t="s">
        <v>25</v>
      </c>
      <c r="C721" s="8">
        <v>150109.57</v>
      </c>
      <c r="D721" s="6"/>
      <c r="E721" s="6"/>
      <c r="F721" s="6">
        <v>150109.57</v>
      </c>
      <c r="G721" s="6">
        <v>0</v>
      </c>
      <c r="H721" s="6">
        <v>-5014.5</v>
      </c>
    </row>
    <row r="722" spans="1:8" ht="22.5">
      <c r="A722" s="24" t="s">
        <v>395</v>
      </c>
      <c r="B722" s="5" t="s">
        <v>397</v>
      </c>
      <c r="C722" s="8">
        <v>126102</v>
      </c>
      <c r="D722" s="6"/>
      <c r="E722" s="6"/>
      <c r="F722" s="6"/>
      <c r="G722" s="6"/>
      <c r="H722" s="6"/>
    </row>
    <row r="723" spans="1:8" ht="22.5">
      <c r="A723" s="4">
        <v>7</v>
      </c>
      <c r="B723" s="5" t="s">
        <v>26</v>
      </c>
      <c r="C723" s="5">
        <f aca="true" t="shared" si="18" ref="C723:H723">C724+C725+C726+C727</f>
        <v>0</v>
      </c>
      <c r="D723" s="5">
        <f t="shared" si="18"/>
        <v>1994666.02</v>
      </c>
      <c r="E723" s="8">
        <f t="shared" si="18"/>
        <v>1950239.69</v>
      </c>
      <c r="F723" s="8">
        <f t="shared" si="18"/>
        <v>1952046.22</v>
      </c>
      <c r="G723" s="5">
        <f t="shared" si="18"/>
        <v>0</v>
      </c>
      <c r="H723" s="5">
        <f t="shared" si="18"/>
        <v>-667143.3200000001</v>
      </c>
    </row>
    <row r="724" spans="1:8" ht="12.75">
      <c r="A724" s="4" t="s">
        <v>27</v>
      </c>
      <c r="B724" s="5" t="s">
        <v>28</v>
      </c>
      <c r="C724" s="5"/>
      <c r="D724" s="4">
        <v>28595.62</v>
      </c>
      <c r="E724" s="6">
        <v>26789.09</v>
      </c>
      <c r="F724" s="6">
        <f>D724</f>
        <v>28595.62</v>
      </c>
      <c r="G724" s="4"/>
      <c r="H724" s="4">
        <f>-1806.53</f>
        <v>-1806.53</v>
      </c>
    </row>
    <row r="725" spans="1:8" ht="33.75">
      <c r="A725" s="4" t="s">
        <v>29</v>
      </c>
      <c r="B725" s="5" t="s">
        <v>30</v>
      </c>
      <c r="C725" s="5"/>
      <c r="D725" s="4">
        <v>315870.99</v>
      </c>
      <c r="E725" s="6">
        <v>313587.64</v>
      </c>
      <c r="F725" s="6">
        <f>E725</f>
        <v>313587.64</v>
      </c>
      <c r="G725" s="4">
        <f>E725-F725</f>
        <v>0</v>
      </c>
      <c r="H725" s="4">
        <f>-123038.68-1403-3283.35</f>
        <v>-127725.03</v>
      </c>
    </row>
    <row r="726" spans="1:8" ht="22.5">
      <c r="A726" s="4" t="s">
        <v>31</v>
      </c>
      <c r="B726" s="5" t="s">
        <v>32</v>
      </c>
      <c r="C726" s="5"/>
      <c r="D726" s="4">
        <v>519707.67</v>
      </c>
      <c r="E726" s="6">
        <v>508987.72</v>
      </c>
      <c r="F726" s="6">
        <f>E726</f>
        <v>508987.72</v>
      </c>
      <c r="G726" s="4"/>
      <c r="H726" s="4">
        <f>-160529.39-15698-10719.95</f>
        <v>-186947.34000000003</v>
      </c>
    </row>
    <row r="727" spans="1:8" ht="22.5">
      <c r="A727" s="4" t="s">
        <v>33</v>
      </c>
      <c r="B727" s="5" t="s">
        <v>34</v>
      </c>
      <c r="C727" s="5"/>
      <c r="D727" s="4">
        <v>1130491.74</v>
      </c>
      <c r="E727" s="6">
        <v>1100875.24</v>
      </c>
      <c r="F727" s="6">
        <f>E727</f>
        <v>1100875.24</v>
      </c>
      <c r="G727" s="4">
        <f>E727-F727</f>
        <v>0</v>
      </c>
      <c r="H727" s="4">
        <f>-300458.92-20589-29616.5</f>
        <v>-350664.42</v>
      </c>
    </row>
    <row r="728" spans="1:8" ht="56.25">
      <c r="A728" s="4"/>
      <c r="B728" s="23" t="s">
        <v>389</v>
      </c>
      <c r="C728" s="4">
        <v>21600</v>
      </c>
      <c r="D728" s="4">
        <v>7200</v>
      </c>
      <c r="E728" s="4">
        <v>7200</v>
      </c>
      <c r="F728" s="4"/>
      <c r="G728" s="4">
        <f>C728+E728</f>
        <v>28800</v>
      </c>
      <c r="H728" s="4"/>
    </row>
    <row r="729" spans="1:8" ht="12.75">
      <c r="A729" s="4"/>
      <c r="B729" s="4"/>
      <c r="C729" s="4"/>
      <c r="D729" s="4"/>
      <c r="E729" s="4"/>
      <c r="F729" s="4"/>
      <c r="G729" s="4"/>
      <c r="H729" s="4"/>
    </row>
    <row r="732" ht="114.75" customHeight="1"/>
    <row r="733" ht="12.75">
      <c r="A733" t="s">
        <v>0</v>
      </c>
    </row>
    <row r="734" ht="12.75">
      <c r="A734" t="s">
        <v>291</v>
      </c>
    </row>
    <row r="735" ht="12.75">
      <c r="A735" t="s">
        <v>1</v>
      </c>
    </row>
    <row r="736" ht="12.75">
      <c r="A736" t="s">
        <v>416</v>
      </c>
    </row>
    <row r="738" ht="12.75">
      <c r="A738" t="s">
        <v>2</v>
      </c>
    </row>
    <row r="740" ht="12.75">
      <c r="A740" t="s">
        <v>53</v>
      </c>
    </row>
    <row r="741" ht="12.75">
      <c r="A741" t="s">
        <v>111</v>
      </c>
    </row>
    <row r="742" ht="12.75">
      <c r="A742" t="s">
        <v>4</v>
      </c>
    </row>
    <row r="743" ht="12.75">
      <c r="A743" t="s">
        <v>112</v>
      </c>
    </row>
    <row r="744" ht="12.75">
      <c r="A744" t="s">
        <v>113</v>
      </c>
    </row>
    <row r="746" ht="12.75">
      <c r="A746" t="s">
        <v>6</v>
      </c>
    </row>
    <row r="747" ht="12.75">
      <c r="A747" t="s">
        <v>7</v>
      </c>
    </row>
    <row r="749" spans="1:8" ht="12.75">
      <c r="A749" s="4" t="s">
        <v>8</v>
      </c>
      <c r="B749" s="4" t="s">
        <v>13</v>
      </c>
      <c r="C749" s="4" t="s">
        <v>9</v>
      </c>
      <c r="D749" s="4" t="s">
        <v>10</v>
      </c>
      <c r="E749" s="4" t="s">
        <v>15</v>
      </c>
      <c r="F749" s="4" t="s">
        <v>16</v>
      </c>
      <c r="G749" s="4" t="s">
        <v>9</v>
      </c>
      <c r="H749" s="4" t="s">
        <v>11</v>
      </c>
    </row>
    <row r="750" spans="1:8" ht="12.75">
      <c r="A750" s="4"/>
      <c r="B750" s="4"/>
      <c r="C750" s="4" t="s">
        <v>417</v>
      </c>
      <c r="D750" s="4" t="s">
        <v>418</v>
      </c>
      <c r="E750" s="4" t="s">
        <v>14</v>
      </c>
      <c r="F750" s="4" t="s">
        <v>17</v>
      </c>
      <c r="G750" s="4" t="s">
        <v>420</v>
      </c>
      <c r="H750" s="4" t="s">
        <v>12</v>
      </c>
    </row>
    <row r="751" spans="1:8" ht="12.75">
      <c r="A751" s="4"/>
      <c r="B751" s="4"/>
      <c r="C751" s="4"/>
      <c r="D751" s="4"/>
      <c r="E751" s="4" t="s">
        <v>419</v>
      </c>
      <c r="F751" s="4" t="s">
        <v>419</v>
      </c>
      <c r="G751" s="4"/>
      <c r="H751" s="4" t="s">
        <v>421</v>
      </c>
    </row>
    <row r="752" spans="1:8" ht="12.75">
      <c r="A752" s="4"/>
      <c r="B752" s="4"/>
      <c r="C752" s="4"/>
      <c r="D752" s="4"/>
      <c r="E752" s="4"/>
      <c r="F752" s="4"/>
      <c r="G752" s="4"/>
      <c r="H752" s="4"/>
    </row>
    <row r="753" spans="1:8" ht="22.5">
      <c r="A753" s="4">
        <v>1</v>
      </c>
      <c r="B753" s="5" t="s">
        <v>18</v>
      </c>
      <c r="C753" s="6"/>
      <c r="D753" s="6">
        <v>365784.72</v>
      </c>
      <c r="E753" s="6">
        <v>360640.99</v>
      </c>
      <c r="F753" s="6">
        <f>D753</f>
        <v>365784.72</v>
      </c>
      <c r="G753" s="6"/>
      <c r="H753" s="6">
        <f>-24932.05-8547-5143.73</f>
        <v>-38622.78</v>
      </c>
    </row>
    <row r="754" spans="1:8" ht="12.75">
      <c r="A754" s="4">
        <v>3</v>
      </c>
      <c r="B754" s="5" t="s">
        <v>21</v>
      </c>
      <c r="C754" s="8"/>
      <c r="D754" s="6"/>
      <c r="E754" s="6"/>
      <c r="F754" s="6"/>
      <c r="G754" s="6"/>
      <c r="H754" s="6"/>
    </row>
    <row r="755" spans="1:8" ht="12.75">
      <c r="A755" s="4">
        <v>4</v>
      </c>
      <c r="B755" s="5" t="s">
        <v>22</v>
      </c>
      <c r="C755" s="8"/>
      <c r="D755" s="6">
        <v>155354.91</v>
      </c>
      <c r="E755" s="6">
        <v>151693.11</v>
      </c>
      <c r="F755" s="6">
        <f>D755</f>
        <v>155354.91</v>
      </c>
      <c r="G755" s="6"/>
      <c r="H755" s="6">
        <f>-6747.84-2569-3661.8</f>
        <v>-12978.64</v>
      </c>
    </row>
    <row r="756" spans="1:8" ht="22.5">
      <c r="A756" s="4">
        <v>5</v>
      </c>
      <c r="B756" s="5" t="s">
        <v>23</v>
      </c>
      <c r="C756" s="8"/>
      <c r="D756" s="6"/>
      <c r="E756" s="6"/>
      <c r="F756" s="6"/>
      <c r="G756" s="6"/>
      <c r="H756" s="6"/>
    </row>
    <row r="757" spans="1:8" ht="22.5">
      <c r="A757" s="4">
        <v>6</v>
      </c>
      <c r="B757" s="5" t="s">
        <v>24</v>
      </c>
      <c r="C757" s="8">
        <v>-331474.87</v>
      </c>
      <c r="D757" s="6">
        <f>83529.72+18052.15</f>
        <v>101581.87</v>
      </c>
      <c r="E757" s="6">
        <f>'[1]текущий 2017'!$B$964</f>
        <v>191869.81000000003</v>
      </c>
      <c r="F757" s="6">
        <f>'[1]текущий 2017'!$C$965</f>
        <v>59113.68000000001</v>
      </c>
      <c r="G757" s="6">
        <f>C757+E757-F757</f>
        <v>-198718.74</v>
      </c>
      <c r="H757" s="6">
        <v>-10900.56</v>
      </c>
    </row>
    <row r="758" spans="1:8" ht="22.5">
      <c r="A758" s="4">
        <v>7</v>
      </c>
      <c r="B758" s="5" t="s">
        <v>25</v>
      </c>
      <c r="C758" s="8">
        <v>88665.2</v>
      </c>
      <c r="D758" s="6"/>
      <c r="E758" s="6"/>
      <c r="F758" s="6">
        <v>88665.2</v>
      </c>
      <c r="G758" s="6">
        <v>0</v>
      </c>
      <c r="H758" s="6">
        <v>-3921.73</v>
      </c>
    </row>
    <row r="759" spans="1:8" ht="22.5">
      <c r="A759" s="24" t="s">
        <v>395</v>
      </c>
      <c r="B759" s="5" t="s">
        <v>397</v>
      </c>
      <c r="C759" s="8">
        <v>149111</v>
      </c>
      <c r="D759" s="6"/>
      <c r="E759" s="6"/>
      <c r="F759" s="6"/>
      <c r="G759" s="6"/>
      <c r="H759" s="6"/>
    </row>
    <row r="760" spans="1:8" ht="22.5">
      <c r="A760" s="4">
        <v>8</v>
      </c>
      <c r="B760" s="5" t="s">
        <v>26</v>
      </c>
      <c r="C760" s="5">
        <f aca="true" t="shared" si="19" ref="C760:H760">C761+C762+C763+C764</f>
        <v>0</v>
      </c>
      <c r="D760" s="5">
        <f t="shared" si="19"/>
        <v>2198814.68</v>
      </c>
      <c r="E760" s="8">
        <f t="shared" si="19"/>
        <v>2186009.05</v>
      </c>
      <c r="F760" s="8">
        <f t="shared" si="19"/>
        <v>2187295.2199999997</v>
      </c>
      <c r="G760" s="5">
        <f t="shared" si="19"/>
        <v>0</v>
      </c>
      <c r="H760" s="5">
        <f t="shared" si="19"/>
        <v>-413741.69000000006</v>
      </c>
    </row>
    <row r="761" spans="1:8" ht="12.75">
      <c r="A761" s="22" t="s">
        <v>368</v>
      </c>
      <c r="B761" s="5" t="s">
        <v>28</v>
      </c>
      <c r="C761" s="5"/>
      <c r="D761" s="4">
        <v>41272.2</v>
      </c>
      <c r="E761" s="6">
        <v>39986.03</v>
      </c>
      <c r="F761" s="6">
        <f>D761</f>
        <v>41272.2</v>
      </c>
      <c r="G761" s="4"/>
      <c r="H761" s="4">
        <f>-1286.17</f>
        <v>-1286.17</v>
      </c>
    </row>
    <row r="762" spans="1:8" ht="33.75">
      <c r="A762" s="4" t="s">
        <v>369</v>
      </c>
      <c r="B762" s="5" t="s">
        <v>30</v>
      </c>
      <c r="C762" s="5"/>
      <c r="D762" s="4">
        <v>298131.59</v>
      </c>
      <c r="E762" s="6">
        <v>292443.98</v>
      </c>
      <c r="F762" s="6">
        <f>E762</f>
        <v>292443.98</v>
      </c>
      <c r="G762" s="4">
        <f>E762-F762</f>
        <v>0</v>
      </c>
      <c r="H762" s="4">
        <f>-26934.69-10896-5687.61</f>
        <v>-43518.3</v>
      </c>
    </row>
    <row r="763" spans="1:8" ht="22.5">
      <c r="A763" s="4" t="s">
        <v>370</v>
      </c>
      <c r="B763" s="5" t="s">
        <v>32</v>
      </c>
      <c r="C763" s="5"/>
      <c r="D763" s="4">
        <v>517154.11</v>
      </c>
      <c r="E763" s="6">
        <v>513902.04</v>
      </c>
      <c r="F763" s="6">
        <f>E763</f>
        <v>513902.04</v>
      </c>
      <c r="G763" s="4"/>
      <c r="H763" s="4">
        <f>-67701.12-23654-3252.07</f>
        <v>-94607.19</v>
      </c>
    </row>
    <row r="764" spans="1:8" ht="22.5">
      <c r="A764" s="4" t="s">
        <v>371</v>
      </c>
      <c r="B764" s="5" t="s">
        <v>34</v>
      </c>
      <c r="C764" s="5"/>
      <c r="D764" s="4">
        <v>1342256.78</v>
      </c>
      <c r="E764" s="6">
        <v>1339677</v>
      </c>
      <c r="F764" s="6">
        <f>E764</f>
        <v>1339677</v>
      </c>
      <c r="G764" s="4">
        <f>E764-F764</f>
        <v>0</v>
      </c>
      <c r="H764" s="4">
        <f>-239181.25-32569-2579.78</f>
        <v>-274330.03</v>
      </c>
    </row>
    <row r="765" spans="1:8" ht="56.25">
      <c r="A765" s="4"/>
      <c r="B765" s="23" t="s">
        <v>389</v>
      </c>
      <c r="C765" s="4">
        <v>21600</v>
      </c>
      <c r="D765" s="4">
        <v>7200</v>
      </c>
      <c r="E765" s="4">
        <v>7200</v>
      </c>
      <c r="F765" s="4"/>
      <c r="G765" s="4">
        <f>C765+E765</f>
        <v>28800</v>
      </c>
      <c r="H765" s="4"/>
    </row>
    <row r="766" spans="1:8" ht="12.75">
      <c r="A766" s="4"/>
      <c r="B766" s="4"/>
      <c r="C766" s="4"/>
      <c r="D766" s="4"/>
      <c r="E766" s="4"/>
      <c r="F766" s="4"/>
      <c r="G766" s="4"/>
      <c r="H766" s="4"/>
    </row>
    <row r="769" ht="108.75" customHeight="1"/>
    <row r="770" ht="12.75">
      <c r="A770" t="s">
        <v>0</v>
      </c>
    </row>
    <row r="771" ht="12.75">
      <c r="A771" t="s">
        <v>291</v>
      </c>
    </row>
    <row r="772" ht="12.75">
      <c r="A772" t="s">
        <v>1</v>
      </c>
    </row>
    <row r="773" ht="12.75">
      <c r="A773" t="s">
        <v>416</v>
      </c>
    </row>
    <row r="775" ht="12.75">
      <c r="A775" t="s">
        <v>2</v>
      </c>
    </row>
    <row r="777" ht="12.75">
      <c r="A777" t="s">
        <v>54</v>
      </c>
    </row>
    <row r="778" ht="12.75">
      <c r="A778" t="s">
        <v>114</v>
      </c>
    </row>
    <row r="779" ht="12.75">
      <c r="A779" t="s">
        <v>4</v>
      </c>
    </row>
    <row r="780" ht="12.75">
      <c r="A780" t="s">
        <v>115</v>
      </c>
    </row>
    <row r="781" ht="12.75">
      <c r="A781" t="s">
        <v>116</v>
      </c>
    </row>
    <row r="783" ht="12.75">
      <c r="A783" t="s">
        <v>6</v>
      </c>
    </row>
    <row r="784" ht="12.75">
      <c r="A784" t="s">
        <v>7</v>
      </c>
    </row>
    <row r="786" spans="1:8" ht="12.75">
      <c r="A786" s="4" t="s">
        <v>8</v>
      </c>
      <c r="B786" s="4" t="s">
        <v>13</v>
      </c>
      <c r="C786" s="4" t="s">
        <v>9</v>
      </c>
      <c r="D786" s="4" t="s">
        <v>10</v>
      </c>
      <c r="E786" s="4" t="s">
        <v>15</v>
      </c>
      <c r="F786" s="4" t="s">
        <v>16</v>
      </c>
      <c r="G786" s="4" t="s">
        <v>9</v>
      </c>
      <c r="H786" s="4" t="s">
        <v>11</v>
      </c>
    </row>
    <row r="787" spans="1:8" ht="12.75">
      <c r="A787" s="4"/>
      <c r="B787" s="4"/>
      <c r="C787" s="4" t="s">
        <v>417</v>
      </c>
      <c r="D787" s="4" t="s">
        <v>418</v>
      </c>
      <c r="E787" s="4" t="s">
        <v>14</v>
      </c>
      <c r="F787" s="4" t="s">
        <v>17</v>
      </c>
      <c r="G787" s="4" t="s">
        <v>420</v>
      </c>
      <c r="H787" s="4" t="s">
        <v>12</v>
      </c>
    </row>
    <row r="788" spans="1:8" ht="12.75">
      <c r="A788" s="4"/>
      <c r="B788" s="4"/>
      <c r="C788" s="4"/>
      <c r="D788" s="4"/>
      <c r="E788" s="4" t="s">
        <v>419</v>
      </c>
      <c r="F788" s="4" t="s">
        <v>419</v>
      </c>
      <c r="G788" s="4"/>
      <c r="H788" s="4" t="s">
        <v>421</v>
      </c>
    </row>
    <row r="789" spans="1:8" ht="12.75">
      <c r="A789" s="4"/>
      <c r="B789" s="4"/>
      <c r="C789" s="4"/>
      <c r="D789" s="4"/>
      <c r="E789" s="4"/>
      <c r="F789" s="4"/>
      <c r="G789" s="4"/>
      <c r="H789" s="4"/>
    </row>
    <row r="790" spans="1:8" ht="22.5">
      <c r="A790" s="4">
        <v>1</v>
      </c>
      <c r="B790" s="5" t="s">
        <v>18</v>
      </c>
      <c r="C790" s="6"/>
      <c r="D790" s="6">
        <v>296628.24</v>
      </c>
      <c r="E790" s="6">
        <v>292325</v>
      </c>
      <c r="F790" s="6">
        <f>D790</f>
        <v>296628.24</v>
      </c>
      <c r="G790" s="6"/>
      <c r="H790" s="6">
        <f>-82835.34+9586-4303.24</f>
        <v>-77552.58</v>
      </c>
    </row>
    <row r="791" spans="1:8" ht="12.75">
      <c r="A791" s="4">
        <v>2</v>
      </c>
      <c r="B791" s="5" t="s">
        <v>21</v>
      </c>
      <c r="C791" s="8"/>
      <c r="D791" s="6"/>
      <c r="E791" s="6"/>
      <c r="F791" s="6"/>
      <c r="G791" s="6"/>
      <c r="H791" s="6"/>
    </row>
    <row r="792" spans="1:8" ht="12.75">
      <c r="A792" s="4">
        <v>3</v>
      </c>
      <c r="B792" s="5" t="s">
        <v>22</v>
      </c>
      <c r="C792" s="8"/>
      <c r="D792" s="6">
        <v>125983.11</v>
      </c>
      <c r="E792" s="6">
        <v>122343.49</v>
      </c>
      <c r="F792" s="6">
        <f>D792</f>
        <v>125983.11</v>
      </c>
      <c r="G792" s="6"/>
      <c r="H792" s="6">
        <f>-27130.43+5632-3639.62</f>
        <v>-25138.05</v>
      </c>
    </row>
    <row r="793" spans="1:8" ht="22.5">
      <c r="A793" s="4">
        <v>4</v>
      </c>
      <c r="B793" s="5" t="s">
        <v>23</v>
      </c>
      <c r="C793" s="8"/>
      <c r="D793" s="6"/>
      <c r="E793" s="6"/>
      <c r="F793" s="6"/>
      <c r="G793" s="6"/>
      <c r="H793" s="6"/>
    </row>
    <row r="794" spans="1:8" ht="22.5">
      <c r="A794" s="4">
        <v>5</v>
      </c>
      <c r="B794" s="5" t="s">
        <v>24</v>
      </c>
      <c r="C794" s="8">
        <v>154604.75</v>
      </c>
      <c r="D794" s="6">
        <v>67736.52</v>
      </c>
      <c r="E794" s="6">
        <f>'[1]текущий 2017'!$B$1015</f>
        <v>71795.47999999998</v>
      </c>
      <c r="F794" s="6">
        <f>'[1]текущий 2017'!$C$1016</f>
        <v>13672.230000000001</v>
      </c>
      <c r="G794" s="6">
        <f>C794+E794-F794</f>
        <v>212727.99999999997</v>
      </c>
      <c r="H794" s="6">
        <v>-27437.37</v>
      </c>
    </row>
    <row r="795" spans="1:8" ht="22.5">
      <c r="A795" s="4">
        <v>6</v>
      </c>
      <c r="B795" s="5" t="s">
        <v>25</v>
      </c>
      <c r="C795" s="8">
        <v>0</v>
      </c>
      <c r="D795" s="6"/>
      <c r="E795" s="6">
        <v>0</v>
      </c>
      <c r="F795" s="6">
        <f>Лист3!D775</f>
        <v>0</v>
      </c>
      <c r="G795" s="6">
        <f>C795+E795-F795</f>
        <v>0</v>
      </c>
      <c r="H795" s="6"/>
    </row>
    <row r="796" spans="1:8" ht="22.5">
      <c r="A796" s="24" t="s">
        <v>395</v>
      </c>
      <c r="B796" s="5" t="s">
        <v>397</v>
      </c>
      <c r="C796" s="8">
        <v>121269</v>
      </c>
      <c r="D796" s="6"/>
      <c r="E796" s="6"/>
      <c r="F796" s="6"/>
      <c r="G796" s="6"/>
      <c r="H796" s="6"/>
    </row>
    <row r="797" spans="1:8" ht="22.5">
      <c r="A797" s="4">
        <v>7</v>
      </c>
      <c r="B797" s="5" t="s">
        <v>26</v>
      </c>
      <c r="C797" s="5">
        <f aca="true" t="shared" si="20" ref="C797:H797">C798+C799+C800+C801</f>
        <v>0</v>
      </c>
      <c r="D797" s="5">
        <f t="shared" si="20"/>
        <v>1789497.42</v>
      </c>
      <c r="E797" s="8">
        <f t="shared" si="20"/>
        <v>1777175.8599999999</v>
      </c>
      <c r="F797" s="8">
        <f t="shared" si="20"/>
        <v>1778564.5899999999</v>
      </c>
      <c r="G797" s="5">
        <f t="shared" si="20"/>
        <v>0</v>
      </c>
      <c r="H797" s="5">
        <f t="shared" si="20"/>
        <v>-751575.39</v>
      </c>
    </row>
    <row r="798" spans="1:8" ht="12.75">
      <c r="A798" s="4" t="s">
        <v>27</v>
      </c>
      <c r="B798" s="5" t="s">
        <v>28</v>
      </c>
      <c r="C798" s="5"/>
      <c r="D798" s="4">
        <v>30912.07</v>
      </c>
      <c r="E798" s="6">
        <v>29523.34</v>
      </c>
      <c r="F798" s="6">
        <f>D798</f>
        <v>30912.07</v>
      </c>
      <c r="G798" s="4"/>
      <c r="H798" s="4">
        <f>-1388.73</f>
        <v>-1388.73</v>
      </c>
    </row>
    <row r="799" spans="1:8" ht="33.75">
      <c r="A799" s="4" t="s">
        <v>29</v>
      </c>
      <c r="B799" s="5" t="s">
        <v>30</v>
      </c>
      <c r="C799" s="5"/>
      <c r="D799" s="4">
        <v>288732.62</v>
      </c>
      <c r="E799" s="6">
        <v>286643.52</v>
      </c>
      <c r="F799" s="6">
        <f>E799</f>
        <v>286643.52</v>
      </c>
      <c r="G799" s="4">
        <f>E799-F799</f>
        <v>0</v>
      </c>
      <c r="H799" s="4">
        <f>-108715.93+25-2089.1</f>
        <v>-110780.03</v>
      </c>
    </row>
    <row r="800" spans="1:8" ht="22.5">
      <c r="A800" s="4" t="s">
        <v>31</v>
      </c>
      <c r="B800" s="5" t="s">
        <v>32</v>
      </c>
      <c r="C800" s="5"/>
      <c r="D800" s="4">
        <v>381370.2</v>
      </c>
      <c r="E800" s="6">
        <v>376211.36</v>
      </c>
      <c r="F800" s="6">
        <f>E800</f>
        <v>376211.36</v>
      </c>
      <c r="G800" s="4"/>
      <c r="H800" s="4">
        <f>-192733.91+5214-5158.9</f>
        <v>-192678.81</v>
      </c>
    </row>
    <row r="801" spans="1:8" ht="22.5">
      <c r="A801" s="4" t="s">
        <v>33</v>
      </c>
      <c r="B801" s="5" t="s">
        <v>34</v>
      </c>
      <c r="C801" s="5"/>
      <c r="D801" s="4">
        <v>1088482.53</v>
      </c>
      <c r="E801" s="6">
        <v>1084797.64</v>
      </c>
      <c r="F801" s="6">
        <f>E801</f>
        <v>1084797.64</v>
      </c>
      <c r="G801" s="4">
        <f>E801-F801</f>
        <v>0</v>
      </c>
      <c r="H801" s="4">
        <f>-427410.93-15632-3684.89</f>
        <v>-446727.82</v>
      </c>
    </row>
    <row r="802" spans="1:8" ht="76.5" customHeight="1">
      <c r="A802" s="4"/>
      <c r="B802" s="23" t="s">
        <v>389</v>
      </c>
      <c r="C802" s="4">
        <v>10800</v>
      </c>
      <c r="D802" s="4">
        <v>3600</v>
      </c>
      <c r="E802" s="4">
        <v>3600</v>
      </c>
      <c r="F802" s="4"/>
      <c r="G802" s="4">
        <f>C802+E802</f>
        <v>14400</v>
      </c>
      <c r="H802" s="4"/>
    </row>
    <row r="803" spans="1:8" ht="133.5" customHeight="1">
      <c r="A803" s="29"/>
      <c r="B803" s="31"/>
      <c r="C803" s="29"/>
      <c r="D803" s="29"/>
      <c r="E803" s="29"/>
      <c r="F803" s="29"/>
      <c r="G803" s="29"/>
      <c r="H803" s="29"/>
    </row>
    <row r="804" ht="26.25" customHeight="1">
      <c r="A804" t="s">
        <v>0</v>
      </c>
    </row>
    <row r="805" ht="12.75">
      <c r="A805" t="s">
        <v>291</v>
      </c>
    </row>
    <row r="806" ht="12.75">
      <c r="A806" t="s">
        <v>1</v>
      </c>
    </row>
    <row r="807" ht="12.75">
      <c r="A807" t="s">
        <v>416</v>
      </c>
    </row>
    <row r="809" ht="12.75">
      <c r="A809" t="s">
        <v>2</v>
      </c>
    </row>
    <row r="811" ht="12.75">
      <c r="A811" t="s">
        <v>55</v>
      </c>
    </row>
    <row r="812" ht="12.75">
      <c r="A812" t="s">
        <v>117</v>
      </c>
    </row>
    <row r="813" ht="12.75">
      <c r="A813" t="s">
        <v>4</v>
      </c>
    </row>
    <row r="814" ht="12.75">
      <c r="A814" t="s">
        <v>118</v>
      </c>
    </row>
    <row r="815" ht="12.75">
      <c r="A815" t="s">
        <v>119</v>
      </c>
    </row>
    <row r="817" ht="12.75">
      <c r="A817" t="s">
        <v>6</v>
      </c>
    </row>
    <row r="818" ht="12.75">
      <c r="A818" t="s">
        <v>7</v>
      </c>
    </row>
    <row r="820" spans="1:8" ht="12.75">
      <c r="A820" s="4" t="s">
        <v>8</v>
      </c>
      <c r="B820" s="4" t="s">
        <v>13</v>
      </c>
      <c r="C820" s="4" t="s">
        <v>9</v>
      </c>
      <c r="D820" s="4" t="s">
        <v>10</v>
      </c>
      <c r="E820" s="4" t="s">
        <v>15</v>
      </c>
      <c r="F820" s="4" t="s">
        <v>16</v>
      </c>
      <c r="G820" s="4" t="s">
        <v>9</v>
      </c>
      <c r="H820" s="4" t="s">
        <v>11</v>
      </c>
    </row>
    <row r="821" spans="1:8" ht="12.75">
      <c r="A821" s="4"/>
      <c r="B821" s="4"/>
      <c r="C821" s="4" t="s">
        <v>417</v>
      </c>
      <c r="D821" s="4" t="s">
        <v>418</v>
      </c>
      <c r="E821" s="4" t="s">
        <v>14</v>
      </c>
      <c r="F821" s="4" t="s">
        <v>17</v>
      </c>
      <c r="G821" s="4" t="s">
        <v>420</v>
      </c>
      <c r="H821" s="4" t="s">
        <v>12</v>
      </c>
    </row>
    <row r="822" spans="1:8" ht="12.75">
      <c r="A822" s="4"/>
      <c r="B822" s="4"/>
      <c r="C822" s="4"/>
      <c r="D822" s="4"/>
      <c r="E822" s="4" t="s">
        <v>419</v>
      </c>
      <c r="F822" s="4" t="s">
        <v>419</v>
      </c>
      <c r="G822" s="4"/>
      <c r="H822" s="4" t="s">
        <v>421</v>
      </c>
    </row>
    <row r="823" spans="1:8" ht="12.75">
      <c r="A823" s="4"/>
      <c r="B823" s="4"/>
      <c r="C823" s="4"/>
      <c r="D823" s="4"/>
      <c r="E823" s="4"/>
      <c r="F823" s="4"/>
      <c r="G823" s="4"/>
      <c r="H823" s="4"/>
    </row>
    <row r="824" spans="1:8" ht="22.5">
      <c r="A824" s="4">
        <v>1</v>
      </c>
      <c r="B824" s="5" t="s">
        <v>18</v>
      </c>
      <c r="C824" s="6"/>
      <c r="D824" s="6">
        <v>106679.36</v>
      </c>
      <c r="E824" s="6">
        <v>104235.63</v>
      </c>
      <c r="F824" s="6">
        <f>D824</f>
        <v>106679.36</v>
      </c>
      <c r="G824" s="6"/>
      <c r="H824" s="6">
        <f>-13998.37+4523-2443.73</f>
        <v>-11919.1</v>
      </c>
    </row>
    <row r="825" spans="1:8" ht="12.75">
      <c r="A825" s="4">
        <v>2</v>
      </c>
      <c r="B825" s="5" t="s">
        <v>21</v>
      </c>
      <c r="C825" s="8"/>
      <c r="D825" s="6"/>
      <c r="E825" s="6"/>
      <c r="F825" s="6"/>
      <c r="G825" s="6"/>
      <c r="H825" s="6"/>
    </row>
    <row r="826" spans="1:8" ht="12.75">
      <c r="A826" s="4">
        <v>3</v>
      </c>
      <c r="B826" s="5" t="s">
        <v>22</v>
      </c>
      <c r="C826" s="8"/>
      <c r="D826" s="6">
        <v>47651.16</v>
      </c>
      <c r="E826" s="6">
        <v>43777.99</v>
      </c>
      <c r="F826" s="6">
        <f>D826</f>
        <v>47651.16</v>
      </c>
      <c r="G826" s="6"/>
      <c r="H826" s="6">
        <f>-4954.87+1523-3873.17</f>
        <v>-7305.04</v>
      </c>
    </row>
    <row r="827" spans="1:8" ht="22.5">
      <c r="A827" s="4">
        <v>4</v>
      </c>
      <c r="B827" s="5" t="s">
        <v>23</v>
      </c>
      <c r="C827" s="8"/>
      <c r="D827" s="6"/>
      <c r="E827" s="6"/>
      <c r="F827" s="6"/>
      <c r="G827" s="6"/>
      <c r="H827" s="6"/>
    </row>
    <row r="828" spans="1:8" ht="22.5">
      <c r="A828" s="4">
        <v>5</v>
      </c>
      <c r="B828" s="5" t="s">
        <v>24</v>
      </c>
      <c r="C828" s="8">
        <v>32401</v>
      </c>
      <c r="D828" s="6">
        <f>23228.28+177255</f>
        <v>200483.28</v>
      </c>
      <c r="E828" s="6">
        <f>'[1]текущий 2017'!$B$1066</f>
        <v>193891.85</v>
      </c>
      <c r="F828" s="6">
        <f>'[1]текущий 2017'!$C$1067</f>
        <v>229259.64</v>
      </c>
      <c r="G828" s="6">
        <f>C828+E828-F828</f>
        <v>-2966.790000000008</v>
      </c>
      <c r="H828" s="6">
        <f>-3475.21-6591.43</f>
        <v>-10066.64</v>
      </c>
    </row>
    <row r="829" spans="1:8" ht="22.5">
      <c r="A829" s="4">
        <v>6</v>
      </c>
      <c r="B829" s="5" t="s">
        <v>25</v>
      </c>
      <c r="C829" s="8">
        <v>0</v>
      </c>
      <c r="D829" s="6"/>
      <c r="E829" s="6"/>
      <c r="F829" s="6">
        <v>0</v>
      </c>
      <c r="G829" s="6">
        <f>C829-F829</f>
        <v>0</v>
      </c>
      <c r="H829" s="6"/>
    </row>
    <row r="830" spans="1:8" ht="22.5">
      <c r="A830" s="4">
        <v>7</v>
      </c>
      <c r="B830" s="5" t="s">
        <v>26</v>
      </c>
      <c r="C830" s="5">
        <f aca="true" t="shared" si="21" ref="C830:H830">C831+C832+C833+C834</f>
        <v>0</v>
      </c>
      <c r="D830" s="5">
        <f t="shared" si="21"/>
        <v>592256.78</v>
      </c>
      <c r="E830" s="8">
        <f t="shared" si="21"/>
        <v>580414.35</v>
      </c>
      <c r="F830" s="8">
        <f t="shared" si="21"/>
        <v>581742.01</v>
      </c>
      <c r="G830" s="5">
        <f t="shared" si="21"/>
        <v>0</v>
      </c>
      <c r="H830" s="5">
        <f t="shared" si="21"/>
        <v>-182225.36000000002</v>
      </c>
    </row>
    <row r="831" spans="1:8" ht="12.75">
      <c r="A831" s="4" t="s">
        <v>27</v>
      </c>
      <c r="B831" s="5" t="s">
        <v>28</v>
      </c>
      <c r="C831" s="5"/>
      <c r="D831" s="4">
        <v>23414.84</v>
      </c>
      <c r="E831" s="6">
        <v>22087.18</v>
      </c>
      <c r="F831" s="6">
        <f>D831</f>
        <v>23414.84</v>
      </c>
      <c r="G831" s="4"/>
      <c r="H831" s="4">
        <f>-1327.66</f>
        <v>-1327.66</v>
      </c>
    </row>
    <row r="832" spans="1:8" ht="33.75">
      <c r="A832" s="4" t="s">
        <v>29</v>
      </c>
      <c r="B832" s="5" t="s">
        <v>30</v>
      </c>
      <c r="C832" s="5"/>
      <c r="D832" s="4">
        <v>157138.33</v>
      </c>
      <c r="E832" s="6">
        <v>152135.66</v>
      </c>
      <c r="F832" s="6">
        <f>E832</f>
        <v>152135.66</v>
      </c>
      <c r="G832" s="4">
        <f>E832-F832</f>
        <v>0</v>
      </c>
      <c r="H832" s="4">
        <f>-52405.63+5632-5002.67</f>
        <v>-51776.299999999996</v>
      </c>
    </row>
    <row r="833" spans="1:8" ht="22.5">
      <c r="A833" s="4" t="s">
        <v>31</v>
      </c>
      <c r="B833" s="5" t="s">
        <v>32</v>
      </c>
      <c r="C833" s="5"/>
      <c r="D833" s="4"/>
      <c r="E833" s="6"/>
      <c r="F833" s="6"/>
      <c r="G833" s="4"/>
      <c r="H833" s="4"/>
    </row>
    <row r="834" spans="1:8" ht="22.5">
      <c r="A834" s="4" t="s">
        <v>33</v>
      </c>
      <c r="B834" s="5" t="s">
        <v>34</v>
      </c>
      <c r="C834" s="5"/>
      <c r="D834" s="4">
        <v>411703.61</v>
      </c>
      <c r="E834" s="6">
        <v>406191.51</v>
      </c>
      <c r="F834" s="6">
        <f>E834</f>
        <v>406191.51</v>
      </c>
      <c r="G834" s="4">
        <f>E834-F834</f>
        <v>0</v>
      </c>
      <c r="H834" s="4">
        <f>-123734.3+125-5512.1</f>
        <v>-129121.40000000001</v>
      </c>
    </row>
    <row r="835" spans="1:8" ht="56.25">
      <c r="A835" s="4"/>
      <c r="B835" s="23" t="s">
        <v>389</v>
      </c>
      <c r="C835" s="4">
        <v>5400</v>
      </c>
      <c r="D835" s="4">
        <v>1800</v>
      </c>
      <c r="E835" s="4">
        <v>1800</v>
      </c>
      <c r="F835" s="4"/>
      <c r="G835" s="4">
        <f>C835+E835</f>
        <v>7200</v>
      </c>
      <c r="H835" s="4"/>
    </row>
    <row r="836" spans="1:8" ht="12.75">
      <c r="A836" s="4"/>
      <c r="B836" s="4"/>
      <c r="C836" s="4"/>
      <c r="D836" s="4"/>
      <c r="E836" s="4"/>
      <c r="F836" s="4"/>
      <c r="G836" s="4"/>
      <c r="H836" s="4"/>
    </row>
    <row r="839" ht="128.25" customHeight="1"/>
    <row r="840" ht="12.75">
      <c r="A840" t="s">
        <v>0</v>
      </c>
    </row>
    <row r="841" ht="12.75">
      <c r="A841" t="s">
        <v>291</v>
      </c>
    </row>
    <row r="842" ht="12.75">
      <c r="A842" t="s">
        <v>1</v>
      </c>
    </row>
    <row r="843" ht="12.75">
      <c r="A843" t="s">
        <v>416</v>
      </c>
    </row>
    <row r="845" ht="12.75">
      <c r="A845" t="s">
        <v>2</v>
      </c>
    </row>
    <row r="847" ht="12.75">
      <c r="A847" t="s">
        <v>56</v>
      </c>
    </row>
    <row r="848" ht="12.75">
      <c r="A848" t="s">
        <v>120</v>
      </c>
    </row>
    <row r="849" ht="12.75">
      <c r="A849" t="s">
        <v>4</v>
      </c>
    </row>
    <row r="850" ht="12.75">
      <c r="A850" t="s">
        <v>121</v>
      </c>
    </row>
    <row r="851" ht="12.75">
      <c r="A851" t="s">
        <v>5</v>
      </c>
    </row>
    <row r="853" ht="12.75">
      <c r="A853" t="s">
        <v>6</v>
      </c>
    </row>
    <row r="854" ht="12.75">
      <c r="A854" t="s">
        <v>7</v>
      </c>
    </row>
    <row r="856" spans="1:8" ht="12.75">
      <c r="A856" s="4" t="s">
        <v>8</v>
      </c>
      <c r="B856" s="4" t="s">
        <v>13</v>
      </c>
      <c r="C856" s="4" t="s">
        <v>9</v>
      </c>
      <c r="D856" s="4" t="s">
        <v>10</v>
      </c>
      <c r="E856" s="4" t="s">
        <v>15</v>
      </c>
      <c r="F856" s="4" t="s">
        <v>16</v>
      </c>
      <c r="G856" s="4" t="s">
        <v>9</v>
      </c>
      <c r="H856" s="4" t="s">
        <v>11</v>
      </c>
    </row>
    <row r="857" spans="1:8" ht="12.75">
      <c r="A857" s="4"/>
      <c r="B857" s="4"/>
      <c r="C857" s="4" t="s">
        <v>417</v>
      </c>
      <c r="D857" s="4" t="s">
        <v>418</v>
      </c>
      <c r="E857" s="4" t="s">
        <v>14</v>
      </c>
      <c r="F857" s="4" t="s">
        <v>17</v>
      </c>
      <c r="G857" s="4" t="s">
        <v>420</v>
      </c>
      <c r="H857" s="4" t="s">
        <v>12</v>
      </c>
    </row>
    <row r="858" spans="1:8" ht="12.75">
      <c r="A858" s="4"/>
      <c r="B858" s="4"/>
      <c r="C858" s="4"/>
      <c r="D858" s="4"/>
      <c r="E858" s="4" t="s">
        <v>419</v>
      </c>
      <c r="F858" s="4" t="s">
        <v>419</v>
      </c>
      <c r="G858" s="4"/>
      <c r="H858" s="4" t="s">
        <v>421</v>
      </c>
    </row>
    <row r="859" spans="1:8" ht="12.75">
      <c r="A859" s="4"/>
      <c r="B859" s="4"/>
      <c r="C859" s="4"/>
      <c r="D859" s="4"/>
      <c r="E859" s="4"/>
      <c r="F859" s="4"/>
      <c r="G859" s="4"/>
      <c r="H859" s="4"/>
    </row>
    <row r="860" spans="1:8" ht="22.5">
      <c r="A860" s="4">
        <v>1</v>
      </c>
      <c r="B860" s="5" t="s">
        <v>18</v>
      </c>
      <c r="C860" s="6"/>
      <c r="D860" s="6">
        <v>115123.8</v>
      </c>
      <c r="E860" s="6">
        <v>110724.04</v>
      </c>
      <c r="F860" s="6">
        <f>D860</f>
        <v>115123.8</v>
      </c>
      <c r="G860" s="6"/>
      <c r="H860" s="6">
        <f>-79315.31-4562-4399.76</f>
        <v>-88277.06999999999</v>
      </c>
    </row>
    <row r="861" spans="1:8" ht="12.75">
      <c r="A861" s="4">
        <v>2</v>
      </c>
      <c r="B861" s="5" t="s">
        <v>21</v>
      </c>
      <c r="C861" s="8"/>
      <c r="D861" s="6"/>
      <c r="E861" s="6"/>
      <c r="F861" s="6"/>
      <c r="G861" s="6"/>
      <c r="H861" s="6"/>
    </row>
    <row r="862" spans="1:8" ht="12.75">
      <c r="A862" s="4">
        <v>3</v>
      </c>
      <c r="B862" s="5" t="s">
        <v>22</v>
      </c>
      <c r="C862" s="8"/>
      <c r="D862" s="6">
        <v>51546.69</v>
      </c>
      <c r="E862" s="6">
        <v>50123.6</v>
      </c>
      <c r="F862" s="6">
        <f>D862</f>
        <v>51546.69</v>
      </c>
      <c r="G862" s="6"/>
      <c r="H862" s="6">
        <f>-27677.71+2737-1423.09</f>
        <v>-26363.8</v>
      </c>
    </row>
    <row r="863" spans="1:8" ht="22.5">
      <c r="A863" s="4">
        <v>4</v>
      </c>
      <c r="B863" s="5" t="s">
        <v>23</v>
      </c>
      <c r="C863" s="8"/>
      <c r="D863" s="6"/>
      <c r="E863" s="6"/>
      <c r="F863" s="6"/>
      <c r="G863" s="6"/>
      <c r="H863" s="6"/>
    </row>
    <row r="864" spans="1:8" ht="22.5">
      <c r="A864" s="4">
        <v>5</v>
      </c>
      <c r="B864" s="5" t="s">
        <v>24</v>
      </c>
      <c r="C864" s="8">
        <v>-1981.91</v>
      </c>
      <c r="D864" s="6">
        <v>25127.04</v>
      </c>
      <c r="E864" s="6">
        <f>'[1]текущий 2017'!$B$1117</f>
        <v>27843.17</v>
      </c>
      <c r="F864" s="6">
        <f>'[1]текущий 2017'!$C$1118</f>
        <v>0</v>
      </c>
      <c r="G864" s="6">
        <f>C864+E864-F864</f>
        <v>25861.26</v>
      </c>
      <c r="H864" s="6">
        <v>-26950.43</v>
      </c>
    </row>
    <row r="865" spans="1:8" ht="22.5">
      <c r="A865" s="4">
        <v>6</v>
      </c>
      <c r="B865" s="5" t="s">
        <v>25</v>
      </c>
      <c r="C865" s="8">
        <v>31113.56</v>
      </c>
      <c r="D865" s="6"/>
      <c r="E865" s="6"/>
      <c r="F865" s="6"/>
      <c r="G865" s="6">
        <v>31113.56</v>
      </c>
      <c r="H865" s="6">
        <v>-6496.87</v>
      </c>
    </row>
    <row r="866" spans="1:8" ht="33.75">
      <c r="A866" s="24" t="s">
        <v>395</v>
      </c>
      <c r="B866" s="26" t="s">
        <v>401</v>
      </c>
      <c r="C866" s="27">
        <v>49266</v>
      </c>
      <c r="D866" s="6"/>
      <c r="E866" s="6"/>
      <c r="F866" s="6"/>
      <c r="G866" s="6"/>
      <c r="H866" s="6"/>
    </row>
    <row r="867" spans="1:8" ht="22.5">
      <c r="A867" s="4">
        <v>7</v>
      </c>
      <c r="B867" s="5" t="s">
        <v>26</v>
      </c>
      <c r="C867" s="5">
        <f aca="true" t="shared" si="22" ref="C867:H867">C868+C869+C870+C871</f>
        <v>0</v>
      </c>
      <c r="D867" s="5">
        <f t="shared" si="22"/>
        <v>694720.72</v>
      </c>
      <c r="E867" s="8">
        <f t="shared" si="22"/>
        <v>664080.81</v>
      </c>
      <c r="F867" s="8">
        <f t="shared" si="22"/>
        <v>665737.25</v>
      </c>
      <c r="G867" s="5">
        <f t="shared" si="22"/>
        <v>0</v>
      </c>
      <c r="H867" s="5">
        <f t="shared" si="22"/>
        <v>-389080.58999999997</v>
      </c>
    </row>
    <row r="868" spans="1:8" ht="12.75">
      <c r="A868" s="4" t="s">
        <v>27</v>
      </c>
      <c r="B868" s="5" t="s">
        <v>28</v>
      </c>
      <c r="C868" s="5"/>
      <c r="D868" s="4">
        <v>14466.13</v>
      </c>
      <c r="E868" s="6">
        <v>12809.69</v>
      </c>
      <c r="F868" s="6">
        <f>D868</f>
        <v>14466.13</v>
      </c>
      <c r="G868" s="4"/>
      <c r="H868" s="4">
        <f>1656.44</f>
        <v>1656.44</v>
      </c>
    </row>
    <row r="869" spans="1:8" ht="33.75">
      <c r="A869" s="4" t="s">
        <v>29</v>
      </c>
      <c r="B869" s="5" t="s">
        <v>30</v>
      </c>
      <c r="C869" s="5"/>
      <c r="D869" s="4">
        <v>234894.42</v>
      </c>
      <c r="E869" s="6">
        <v>230551.73</v>
      </c>
      <c r="F869" s="6">
        <f>E869</f>
        <v>230551.73</v>
      </c>
      <c r="G869" s="4">
        <f>E869-F869</f>
        <v>0</v>
      </c>
      <c r="H869" s="4">
        <f>-58528.03-30212-3342.69</f>
        <v>-92082.72</v>
      </c>
    </row>
    <row r="870" spans="1:8" ht="22.5">
      <c r="A870" s="4" t="s">
        <v>31</v>
      </c>
      <c r="B870" s="5" t="s">
        <v>32</v>
      </c>
      <c r="C870" s="5"/>
      <c r="D870" s="4"/>
      <c r="E870" s="6"/>
      <c r="F870" s="6"/>
      <c r="G870" s="4"/>
      <c r="H870" s="4"/>
    </row>
    <row r="871" spans="1:8" ht="22.5">
      <c r="A871" s="4" t="s">
        <v>33</v>
      </c>
      <c r="B871" s="5" t="s">
        <v>34</v>
      </c>
      <c r="C871" s="5"/>
      <c r="D871" s="4">
        <v>445360.17</v>
      </c>
      <c r="E871" s="6">
        <v>420719.39</v>
      </c>
      <c r="F871" s="6">
        <f>E871</f>
        <v>420719.39</v>
      </c>
      <c r="G871" s="4">
        <f>E871-F871</f>
        <v>0</v>
      </c>
      <c r="H871" s="4">
        <f>-233542.3-40471.23-24640.78</f>
        <v>-298654.30999999994</v>
      </c>
    </row>
    <row r="872" spans="1:8" ht="56.25">
      <c r="A872" s="4"/>
      <c r="B872" s="23" t="s">
        <v>389</v>
      </c>
      <c r="C872" s="4">
        <v>5400</v>
      </c>
      <c r="D872" s="4">
        <v>1800</v>
      </c>
      <c r="E872" s="4">
        <v>1800</v>
      </c>
      <c r="F872" s="4"/>
      <c r="G872" s="4">
        <f>C872+E872</f>
        <v>7200</v>
      </c>
      <c r="H872" s="4"/>
    </row>
    <row r="873" spans="1:8" ht="26.25" customHeight="1">
      <c r="A873" s="4"/>
      <c r="B873" s="4"/>
      <c r="C873" s="4"/>
      <c r="D873" s="4"/>
      <c r="E873" s="4"/>
      <c r="F873" s="4"/>
      <c r="G873" s="4"/>
      <c r="H873" s="4"/>
    </row>
    <row r="874" spans="1:8" ht="114.75" customHeight="1">
      <c r="A874" s="29"/>
      <c r="B874" s="29"/>
      <c r="C874" s="29"/>
      <c r="D874" s="29"/>
      <c r="E874" s="29"/>
      <c r="F874" s="29"/>
      <c r="G874" s="29"/>
      <c r="H874" s="29"/>
    </row>
    <row r="875" ht="12.75">
      <c r="A875" t="s">
        <v>0</v>
      </c>
    </row>
    <row r="876" ht="12.75">
      <c r="A876" t="s">
        <v>291</v>
      </c>
    </row>
    <row r="877" ht="12.75">
      <c r="A877" t="s">
        <v>1</v>
      </c>
    </row>
    <row r="878" ht="12.75">
      <c r="A878" t="s">
        <v>416</v>
      </c>
    </row>
    <row r="880" ht="12.75">
      <c r="A880" t="s">
        <v>2</v>
      </c>
    </row>
    <row r="882" ht="12.75">
      <c r="A882" t="s">
        <v>57</v>
      </c>
    </row>
    <row r="883" ht="12.75">
      <c r="A883" t="s">
        <v>122</v>
      </c>
    </row>
    <row r="884" ht="12.75">
      <c r="A884" t="s">
        <v>4</v>
      </c>
    </row>
    <row r="885" ht="12.75">
      <c r="A885" t="s">
        <v>123</v>
      </c>
    </row>
    <row r="886" ht="12.75">
      <c r="A886" t="s">
        <v>5</v>
      </c>
    </row>
    <row r="888" ht="12.75">
      <c r="A888" t="s">
        <v>6</v>
      </c>
    </row>
    <row r="889" ht="12.75">
      <c r="A889" t="s">
        <v>7</v>
      </c>
    </row>
    <row r="891" spans="1:8" ht="12.75">
      <c r="A891" s="4" t="s">
        <v>8</v>
      </c>
      <c r="B891" s="4" t="s">
        <v>13</v>
      </c>
      <c r="C891" s="4" t="s">
        <v>9</v>
      </c>
      <c r="D891" s="4" t="s">
        <v>10</v>
      </c>
      <c r="E891" s="4" t="s">
        <v>15</v>
      </c>
      <c r="F891" s="4" t="s">
        <v>16</v>
      </c>
      <c r="G891" s="4" t="s">
        <v>9</v>
      </c>
      <c r="H891" s="4" t="s">
        <v>11</v>
      </c>
    </row>
    <row r="892" spans="1:8" ht="12.75">
      <c r="A892" s="4"/>
      <c r="B892" s="4"/>
      <c r="C892" s="4" t="s">
        <v>417</v>
      </c>
      <c r="D892" s="4" t="s">
        <v>418</v>
      </c>
      <c r="E892" s="4" t="s">
        <v>14</v>
      </c>
      <c r="F892" s="4" t="s">
        <v>17</v>
      </c>
      <c r="G892" s="4" t="s">
        <v>420</v>
      </c>
      <c r="H892" s="4" t="s">
        <v>12</v>
      </c>
    </row>
    <row r="893" spans="1:8" ht="12.75">
      <c r="A893" s="4"/>
      <c r="B893" s="4"/>
      <c r="C893" s="4"/>
      <c r="D893" s="4"/>
      <c r="E893" s="4" t="s">
        <v>419</v>
      </c>
      <c r="F893" s="4" t="s">
        <v>419</v>
      </c>
      <c r="G893" s="4"/>
      <c r="H893" s="4" t="s">
        <v>421</v>
      </c>
    </row>
    <row r="894" spans="1:8" ht="12.75">
      <c r="A894" s="4"/>
      <c r="B894" s="4"/>
      <c r="C894" s="4"/>
      <c r="D894" s="4"/>
      <c r="E894" s="4"/>
      <c r="F894" s="4"/>
      <c r="G894" s="4"/>
      <c r="H894" s="4"/>
    </row>
    <row r="895" spans="1:8" ht="22.5">
      <c r="A895" s="4">
        <v>1</v>
      </c>
      <c r="B895" s="5" t="s">
        <v>18</v>
      </c>
      <c r="C895" s="6"/>
      <c r="D895" s="6">
        <v>334037.08</v>
      </c>
      <c r="E895" s="6">
        <v>324656.21</v>
      </c>
      <c r="F895" s="6">
        <f>D895</f>
        <v>334037.08</v>
      </c>
      <c r="G895" s="6"/>
      <c r="H895" s="6">
        <f>-79028.7-2569-9380.87</f>
        <v>-90978.56999999999</v>
      </c>
    </row>
    <row r="896" spans="1:8" ht="12.75">
      <c r="A896" s="4">
        <v>2</v>
      </c>
      <c r="B896" s="5" t="s">
        <v>21</v>
      </c>
      <c r="C896" s="6"/>
      <c r="D896" s="6"/>
      <c r="E896" s="6"/>
      <c r="F896" s="6"/>
      <c r="G896" s="6"/>
      <c r="H896" s="6"/>
    </row>
    <row r="897" spans="1:8" ht="12.75">
      <c r="A897" s="4">
        <v>3</v>
      </c>
      <c r="B897" s="5" t="s">
        <v>22</v>
      </c>
      <c r="C897" s="6"/>
      <c r="D897" s="6">
        <v>136447.8</v>
      </c>
      <c r="E897" s="6">
        <v>130672.2</v>
      </c>
      <c r="F897" s="6">
        <f>D897</f>
        <v>136447.8</v>
      </c>
      <c r="G897" s="6"/>
      <c r="H897" s="6">
        <f>-23229.68+80-6224.4</f>
        <v>-29374.08</v>
      </c>
    </row>
    <row r="898" spans="1:8" ht="22.5">
      <c r="A898" s="4">
        <v>4</v>
      </c>
      <c r="B898" s="5" t="s">
        <v>23</v>
      </c>
      <c r="C898" s="6"/>
      <c r="D898" s="6"/>
      <c r="E898" s="6"/>
      <c r="F898" s="6"/>
      <c r="G898" s="6"/>
      <c r="H898" s="6"/>
    </row>
    <row r="899" spans="1:8" ht="22.5">
      <c r="A899" s="4">
        <v>5</v>
      </c>
      <c r="B899" s="5" t="s">
        <v>24</v>
      </c>
      <c r="C899" s="6">
        <v>224557.49</v>
      </c>
      <c r="D899" s="6">
        <f>73363.44</f>
        <v>73363.44</v>
      </c>
      <c r="E899" s="6">
        <f>'[1]текущий 2017'!$B$1213</f>
        <v>74309.06999999999</v>
      </c>
      <c r="F899" s="6">
        <f>'[1]текущий 2017'!$C$1214</f>
        <v>251679.59999999998</v>
      </c>
      <c r="G899" s="6">
        <f>C899+E899-F899</f>
        <v>47186.96000000002</v>
      </c>
      <c r="H899" s="6">
        <f>-28884.47+945.63</f>
        <v>-27938.84</v>
      </c>
    </row>
    <row r="900" spans="1:8" ht="22.5">
      <c r="A900" s="4">
        <v>6</v>
      </c>
      <c r="B900" s="5" t="s">
        <v>25</v>
      </c>
      <c r="C900" s="6">
        <v>-2125.37</v>
      </c>
      <c r="D900" s="6"/>
      <c r="E900" s="6">
        <v>0</v>
      </c>
      <c r="F900" s="6">
        <v>0</v>
      </c>
      <c r="G900" s="6">
        <f>C900+E900-F900</f>
        <v>-2125.37</v>
      </c>
      <c r="H900" s="6">
        <v>-5144.15</v>
      </c>
    </row>
    <row r="901" spans="1:8" ht="22.5">
      <c r="A901" s="4">
        <v>7</v>
      </c>
      <c r="B901" s="5" t="s">
        <v>26</v>
      </c>
      <c r="C901" s="5">
        <f aca="true" t="shared" si="23" ref="C901:H901">C902+C903+C904+C905</f>
        <v>0</v>
      </c>
      <c r="D901" s="5">
        <f t="shared" si="23"/>
        <v>1490800.05</v>
      </c>
      <c r="E901" s="8">
        <f t="shared" si="23"/>
        <v>1479407.92</v>
      </c>
      <c r="F901" s="8">
        <f t="shared" si="23"/>
        <v>1480251.2999999998</v>
      </c>
      <c r="G901" s="5">
        <f t="shared" si="23"/>
        <v>0</v>
      </c>
      <c r="H901" s="5">
        <f t="shared" si="23"/>
        <v>-431653.81999999995</v>
      </c>
    </row>
    <row r="902" spans="1:8" ht="12.75">
      <c r="A902" s="4" t="s">
        <v>27</v>
      </c>
      <c r="B902" s="5" t="s">
        <v>28</v>
      </c>
      <c r="C902" s="5"/>
      <c r="D902" s="4">
        <v>18627.12</v>
      </c>
      <c r="E902" s="6">
        <v>17783.74</v>
      </c>
      <c r="F902" s="6">
        <f>D902</f>
        <v>18627.12</v>
      </c>
      <c r="G902" s="4"/>
      <c r="H902" s="4">
        <f>-843.38</f>
        <v>-843.38</v>
      </c>
    </row>
    <row r="903" spans="1:8" ht="33.75">
      <c r="A903" s="4" t="s">
        <v>29</v>
      </c>
      <c r="B903" s="5" t="s">
        <v>30</v>
      </c>
      <c r="C903" s="5"/>
      <c r="D903" s="4">
        <v>303382.84</v>
      </c>
      <c r="E903" s="6">
        <v>300169.65</v>
      </c>
      <c r="F903" s="6">
        <f>E903</f>
        <v>300169.65</v>
      </c>
      <c r="G903" s="4">
        <f>E903-F903</f>
        <v>0</v>
      </c>
      <c r="H903" s="4">
        <f>-45925.76-2547-3213.19</f>
        <v>-51685.950000000004</v>
      </c>
    </row>
    <row r="904" spans="1:8" ht="22.5">
      <c r="A904" s="4" t="s">
        <v>31</v>
      </c>
      <c r="B904" s="5" t="s">
        <v>32</v>
      </c>
      <c r="C904" s="5"/>
      <c r="D904" s="4">
        <v>421863.14</v>
      </c>
      <c r="E904" s="6">
        <v>418900.93</v>
      </c>
      <c r="F904" s="6">
        <f>E904</f>
        <v>418900.93</v>
      </c>
      <c r="G904" s="4"/>
      <c r="H904" s="4">
        <f>-43606.69-4598-3037.79</f>
        <v>-51242.48</v>
      </c>
    </row>
    <row r="905" spans="1:8" ht="22.5">
      <c r="A905" s="4" t="s">
        <v>33</v>
      </c>
      <c r="B905" s="5" t="s">
        <v>34</v>
      </c>
      <c r="C905" s="5"/>
      <c r="D905" s="4">
        <v>746926.95</v>
      </c>
      <c r="E905" s="6">
        <v>742553.6</v>
      </c>
      <c r="F905" s="6">
        <f>E905</f>
        <v>742553.6</v>
      </c>
      <c r="G905" s="4">
        <f>E905-F905</f>
        <v>0</v>
      </c>
      <c r="H905" s="4">
        <f>-311203.66-12305-4373.35</f>
        <v>-327882.00999999995</v>
      </c>
    </row>
    <row r="906" spans="1:8" ht="56.25">
      <c r="A906" s="4"/>
      <c r="B906" s="23" t="s">
        <v>389</v>
      </c>
      <c r="C906" s="4">
        <v>21600</v>
      </c>
      <c r="D906" s="4">
        <v>7200</v>
      </c>
      <c r="E906" s="4">
        <v>7200</v>
      </c>
      <c r="F906" s="4"/>
      <c r="G906" s="4">
        <f>C906+E906</f>
        <v>28800</v>
      </c>
      <c r="H906" s="4"/>
    </row>
    <row r="907" spans="1:8" ht="12.75">
      <c r="A907" s="4"/>
      <c r="B907" s="4"/>
      <c r="C907" s="4"/>
      <c r="D907" s="4"/>
      <c r="E907" s="4"/>
      <c r="F907" s="4"/>
      <c r="G907" s="4"/>
      <c r="H907" s="4"/>
    </row>
    <row r="910" ht="141.75" customHeight="1"/>
    <row r="911" ht="12.75">
      <c r="A911" t="s">
        <v>0</v>
      </c>
    </row>
    <row r="912" ht="12.75">
      <c r="A912" t="s">
        <v>291</v>
      </c>
    </row>
    <row r="913" ht="12.75">
      <c r="A913" t="s">
        <v>1</v>
      </c>
    </row>
    <row r="914" ht="12.75">
      <c r="A914" t="s">
        <v>416</v>
      </c>
    </row>
    <row r="916" ht="12.75">
      <c r="A916" t="s">
        <v>2</v>
      </c>
    </row>
    <row r="918" ht="12.75">
      <c r="A918" t="s">
        <v>58</v>
      </c>
    </row>
    <row r="919" ht="12.75">
      <c r="A919" t="s">
        <v>124</v>
      </c>
    </row>
    <row r="920" ht="12.75">
      <c r="A920" t="s">
        <v>4</v>
      </c>
    </row>
    <row r="921" ht="12.75">
      <c r="A921" t="s">
        <v>125</v>
      </c>
    </row>
    <row r="922" ht="12.75">
      <c r="A922" t="s">
        <v>5</v>
      </c>
    </row>
    <row r="924" ht="12.75">
      <c r="A924" t="s">
        <v>6</v>
      </c>
    </row>
    <row r="925" ht="12.75">
      <c r="A925" t="s">
        <v>7</v>
      </c>
    </row>
    <row r="927" spans="1:8" ht="12.75">
      <c r="A927" s="4" t="s">
        <v>8</v>
      </c>
      <c r="B927" s="4" t="s">
        <v>13</v>
      </c>
      <c r="C927" s="4" t="s">
        <v>9</v>
      </c>
      <c r="D927" s="4" t="s">
        <v>10</v>
      </c>
      <c r="E927" s="4" t="s">
        <v>15</v>
      </c>
      <c r="F927" s="4" t="s">
        <v>16</v>
      </c>
      <c r="G927" s="4" t="s">
        <v>9</v>
      </c>
      <c r="H927" s="4" t="s">
        <v>11</v>
      </c>
    </row>
    <row r="928" spans="1:8" ht="12.75">
      <c r="A928" s="4"/>
      <c r="B928" s="4"/>
      <c r="C928" s="4" t="s">
        <v>417</v>
      </c>
      <c r="D928" s="4" t="s">
        <v>418</v>
      </c>
      <c r="E928" s="4" t="s">
        <v>14</v>
      </c>
      <c r="F928" s="4" t="s">
        <v>17</v>
      </c>
      <c r="G928" s="4" t="s">
        <v>420</v>
      </c>
      <c r="H928" s="4" t="s">
        <v>12</v>
      </c>
    </row>
    <row r="929" spans="1:8" ht="12.75">
      <c r="A929" s="4"/>
      <c r="B929" s="4"/>
      <c r="C929" s="4"/>
      <c r="D929" s="4"/>
      <c r="E929" s="4" t="s">
        <v>419</v>
      </c>
      <c r="F929" s="4" t="s">
        <v>419</v>
      </c>
      <c r="G929" s="4"/>
      <c r="H929" s="4" t="s">
        <v>421</v>
      </c>
    </row>
    <row r="930" spans="1:8" ht="12.75">
      <c r="A930" s="4"/>
      <c r="B930" s="4"/>
      <c r="C930" s="4"/>
      <c r="D930" s="4"/>
      <c r="E930" s="4"/>
      <c r="F930" s="4"/>
      <c r="G930" s="4"/>
      <c r="H930" s="4"/>
    </row>
    <row r="931" spans="1:8" ht="22.5">
      <c r="A931" s="4">
        <v>1</v>
      </c>
      <c r="B931" s="5" t="s">
        <v>18</v>
      </c>
      <c r="C931" s="6"/>
      <c r="D931" s="6">
        <v>323282.66</v>
      </c>
      <c r="E931" s="6">
        <v>320967.53</v>
      </c>
      <c r="F931" s="6">
        <f>D931</f>
        <v>323282.66</v>
      </c>
      <c r="G931" s="6"/>
      <c r="H931" s="6">
        <f>-50478.11+8965-3684.87</f>
        <v>-45197.98</v>
      </c>
    </row>
    <row r="932" spans="1:8" ht="12.75">
      <c r="A932" s="4">
        <v>2</v>
      </c>
      <c r="B932" s="5" t="s">
        <v>21</v>
      </c>
      <c r="C932" s="8"/>
      <c r="D932" s="6"/>
      <c r="E932" s="6"/>
      <c r="F932" s="6"/>
      <c r="G932" s="6"/>
      <c r="H932" s="6"/>
    </row>
    <row r="933" spans="1:8" ht="12.75">
      <c r="A933" s="4">
        <v>3</v>
      </c>
      <c r="B933" s="5" t="s">
        <v>22</v>
      </c>
      <c r="C933" s="8"/>
      <c r="D933" s="6">
        <v>134968.47</v>
      </c>
      <c r="E933" s="6">
        <v>130950.12</v>
      </c>
      <c r="F933" s="6">
        <f>D933</f>
        <v>134968.47</v>
      </c>
      <c r="G933" s="6"/>
      <c r="H933" s="6">
        <f>-13678.55+5423-4018.35</f>
        <v>-12273.9</v>
      </c>
    </row>
    <row r="934" spans="1:8" ht="22.5">
      <c r="A934" s="4">
        <v>4</v>
      </c>
      <c r="B934" s="5" t="s">
        <v>23</v>
      </c>
      <c r="C934" s="8"/>
      <c r="D934" s="6"/>
      <c r="E934" s="6"/>
      <c r="F934" s="6"/>
      <c r="G934" s="6"/>
      <c r="H934" s="6"/>
    </row>
    <row r="935" spans="1:8" ht="22.5">
      <c r="A935" s="4">
        <v>5</v>
      </c>
      <c r="B935" s="5" t="s">
        <v>24</v>
      </c>
      <c r="C935" s="8">
        <v>41822.86</v>
      </c>
      <c r="D935" s="6">
        <v>139021.12</v>
      </c>
      <c r="E935" s="6">
        <f>'[1]текущий 2017'!$B$1264</f>
        <v>227406.3</v>
      </c>
      <c r="F935" s="6">
        <f>'[1]текущий 2017'!$C$1265</f>
        <v>284294.98</v>
      </c>
      <c r="G935" s="6">
        <f>C935+E935-F935</f>
        <v>-15065.820000000007</v>
      </c>
      <c r="H935" s="6">
        <v>-22529.11</v>
      </c>
    </row>
    <row r="936" spans="1:8" ht="22.5">
      <c r="A936" s="4">
        <v>6</v>
      </c>
      <c r="B936" s="5" t="s">
        <v>25</v>
      </c>
      <c r="C936" s="8">
        <v>87854.75</v>
      </c>
      <c r="D936" s="6"/>
      <c r="E936" s="6"/>
      <c r="F936" s="6">
        <v>87854.75</v>
      </c>
      <c r="G936" s="6">
        <v>0</v>
      </c>
      <c r="H936" s="6">
        <v>-8002.96</v>
      </c>
    </row>
    <row r="937" spans="1:8" ht="33.75">
      <c r="A937" s="4"/>
      <c r="B937" s="26" t="s">
        <v>401</v>
      </c>
      <c r="C937" s="8">
        <v>-236153</v>
      </c>
      <c r="D937" s="6"/>
      <c r="E937" s="6"/>
      <c r="F937" s="6"/>
      <c r="G937" s="6"/>
      <c r="H937" s="6"/>
    </row>
    <row r="938" spans="1:8" ht="22.5">
      <c r="A938" s="4">
        <v>7</v>
      </c>
      <c r="B938" s="5" t="s">
        <v>26</v>
      </c>
      <c r="C938" s="5">
        <f aca="true" t="shared" si="24" ref="C938:H938">C939+C940+C941+C942</f>
        <v>0</v>
      </c>
      <c r="D938" s="5">
        <f t="shared" si="24"/>
        <v>1518154.94</v>
      </c>
      <c r="E938" s="8">
        <f t="shared" si="24"/>
        <v>1503817.1</v>
      </c>
      <c r="F938" s="8">
        <f t="shared" si="24"/>
        <v>1504655.18</v>
      </c>
      <c r="G938" s="5">
        <f t="shared" si="24"/>
        <v>0</v>
      </c>
      <c r="H938" s="5">
        <f t="shared" si="24"/>
        <v>-461777.06</v>
      </c>
    </row>
    <row r="939" spans="1:8" ht="12.75">
      <c r="A939" s="4" t="s">
        <v>27</v>
      </c>
      <c r="B939" s="5" t="s">
        <v>28</v>
      </c>
      <c r="C939" s="5"/>
      <c r="D939" s="4">
        <v>31648</v>
      </c>
      <c r="E939" s="6">
        <v>30809.92</v>
      </c>
      <c r="F939" s="6">
        <f>D939</f>
        <v>31648</v>
      </c>
      <c r="G939" s="4"/>
      <c r="H939" s="4">
        <f>-838.08</f>
        <v>-838.08</v>
      </c>
    </row>
    <row r="940" spans="1:8" ht="33.75">
      <c r="A940" s="4" t="s">
        <v>29</v>
      </c>
      <c r="B940" s="5" t="s">
        <v>30</v>
      </c>
      <c r="C940" s="5"/>
      <c r="D940" s="4">
        <v>253248.03</v>
      </c>
      <c r="E940" s="6">
        <v>249820.58</v>
      </c>
      <c r="F940" s="6">
        <f>E940</f>
        <v>249820.58</v>
      </c>
      <c r="G940" s="4">
        <f>E940-F940</f>
        <v>0</v>
      </c>
      <c r="H940" s="4">
        <f>-66526.25-1456</f>
        <v>-67982.25</v>
      </c>
    </row>
    <row r="941" spans="1:8" ht="22.5">
      <c r="A941" s="4" t="s">
        <v>31</v>
      </c>
      <c r="B941" s="5" t="s">
        <v>32</v>
      </c>
      <c r="C941" s="5"/>
      <c r="D941" s="4">
        <v>332974.73</v>
      </c>
      <c r="E941" s="6">
        <v>330933.03</v>
      </c>
      <c r="F941" s="6">
        <f>E941</f>
        <v>330933.03</v>
      </c>
      <c r="G941" s="4"/>
      <c r="H941" s="4">
        <f>-87617.22+20455-2041.7</f>
        <v>-69203.92</v>
      </c>
    </row>
    <row r="942" spans="1:8" ht="22.5">
      <c r="A942" s="4" t="s">
        <v>33</v>
      </c>
      <c r="B942" s="5" t="s">
        <v>34</v>
      </c>
      <c r="C942" s="5"/>
      <c r="D942" s="4">
        <v>900284.18</v>
      </c>
      <c r="E942" s="6">
        <v>892253.57</v>
      </c>
      <c r="F942" s="6">
        <f>E942</f>
        <v>892253.57</v>
      </c>
      <c r="G942" s="4">
        <f>E942-F942</f>
        <v>0</v>
      </c>
      <c r="H942" s="4">
        <f>-324263.2+8541-8030.61</f>
        <v>-323752.81</v>
      </c>
    </row>
    <row r="943" spans="1:8" ht="56.25">
      <c r="A943" s="4"/>
      <c r="B943" s="23" t="s">
        <v>389</v>
      </c>
      <c r="C943" s="4">
        <v>21600</v>
      </c>
      <c r="D943" s="4">
        <v>7200</v>
      </c>
      <c r="E943" s="4">
        <v>7200</v>
      </c>
      <c r="F943" s="4"/>
      <c r="G943" s="4">
        <f>C943+E943</f>
        <v>28800</v>
      </c>
      <c r="H943" s="4"/>
    </row>
    <row r="944" spans="1:8" ht="12.75">
      <c r="A944" s="4"/>
      <c r="B944" s="4"/>
      <c r="C944" s="4"/>
      <c r="D944" s="4"/>
      <c r="E944" s="4"/>
      <c r="F944" s="4"/>
      <c r="G944" s="4"/>
      <c r="H944" s="4"/>
    </row>
    <row r="947" ht="85.5" customHeight="1"/>
    <row r="948" ht="30.75" customHeight="1">
      <c r="A948" t="s">
        <v>0</v>
      </c>
    </row>
    <row r="949" ht="12.75">
      <c r="A949" t="s">
        <v>291</v>
      </c>
    </row>
    <row r="950" ht="12.75">
      <c r="A950" t="s">
        <v>1</v>
      </c>
    </row>
    <row r="951" ht="12.75">
      <c r="A951" t="s">
        <v>416</v>
      </c>
    </row>
    <row r="953" ht="12.75">
      <c r="A953" t="s">
        <v>2</v>
      </c>
    </row>
    <row r="955" ht="12.75">
      <c r="A955" t="s">
        <v>59</v>
      </c>
    </row>
    <row r="956" ht="12.75">
      <c r="A956" t="s">
        <v>126</v>
      </c>
    </row>
    <row r="957" ht="12.75">
      <c r="A957" t="s">
        <v>4</v>
      </c>
    </row>
    <row r="958" ht="12.75">
      <c r="A958" t="s">
        <v>127</v>
      </c>
    </row>
    <row r="959" ht="12.75">
      <c r="A959" t="s">
        <v>128</v>
      </c>
    </row>
    <row r="961" ht="12.75">
      <c r="A961" t="s">
        <v>6</v>
      </c>
    </row>
    <row r="962" ht="12.75">
      <c r="A962" t="s">
        <v>7</v>
      </c>
    </row>
    <row r="964" spans="1:8" ht="12.75">
      <c r="A964" s="4" t="s">
        <v>8</v>
      </c>
      <c r="B964" s="4" t="s">
        <v>13</v>
      </c>
      <c r="C964" s="4" t="s">
        <v>9</v>
      </c>
      <c r="D964" s="4" t="s">
        <v>10</v>
      </c>
      <c r="E964" s="4" t="s">
        <v>15</v>
      </c>
      <c r="F964" s="4" t="s">
        <v>16</v>
      </c>
      <c r="G964" s="4" t="s">
        <v>9</v>
      </c>
      <c r="H964" s="4" t="s">
        <v>11</v>
      </c>
    </row>
    <row r="965" spans="1:8" ht="12.75">
      <c r="A965" s="4"/>
      <c r="B965" s="4"/>
      <c r="C965" s="4" t="s">
        <v>417</v>
      </c>
      <c r="D965" s="4" t="s">
        <v>418</v>
      </c>
      <c r="E965" s="4" t="s">
        <v>14</v>
      </c>
      <c r="F965" s="4" t="s">
        <v>17</v>
      </c>
      <c r="G965" s="4" t="s">
        <v>420</v>
      </c>
      <c r="H965" s="4" t="s">
        <v>12</v>
      </c>
    </row>
    <row r="966" spans="1:8" ht="12.75">
      <c r="A966" s="4"/>
      <c r="B966" s="4"/>
      <c r="C966" s="4"/>
      <c r="D966" s="4"/>
      <c r="E966" s="4" t="s">
        <v>419</v>
      </c>
      <c r="F966" s="4" t="s">
        <v>419</v>
      </c>
      <c r="G966" s="4"/>
      <c r="H966" s="4" t="s">
        <v>421</v>
      </c>
    </row>
    <row r="967" spans="1:8" ht="12.75">
      <c r="A967" s="4"/>
      <c r="B967" s="4"/>
      <c r="C967" s="4"/>
      <c r="D967" s="4"/>
      <c r="E967" s="4"/>
      <c r="F967" s="4"/>
      <c r="G967" s="4"/>
      <c r="H967" s="4"/>
    </row>
    <row r="968" spans="1:8" ht="22.5">
      <c r="A968" s="4">
        <v>1</v>
      </c>
      <c r="B968" s="5" t="s">
        <v>18</v>
      </c>
      <c r="C968" s="6"/>
      <c r="D968" s="6">
        <v>310361.62</v>
      </c>
      <c r="E968" s="6">
        <v>305192.49</v>
      </c>
      <c r="F968" s="6">
        <f>D968</f>
        <v>310361.62</v>
      </c>
      <c r="G968" s="6"/>
      <c r="H968" s="6">
        <f>-54972.12-1548-5169.13</f>
        <v>-61689.25</v>
      </c>
    </row>
    <row r="969" spans="1:8" ht="12.75">
      <c r="A969" s="4">
        <v>2</v>
      </c>
      <c r="B969" s="5" t="s">
        <v>21</v>
      </c>
      <c r="C969" s="8"/>
      <c r="D969" s="6"/>
      <c r="E969" s="6"/>
      <c r="F969" s="6"/>
      <c r="G969" s="6"/>
      <c r="H969" s="6"/>
    </row>
    <row r="970" spans="1:8" ht="12.75">
      <c r="A970" s="4">
        <v>3</v>
      </c>
      <c r="B970" s="5" t="s">
        <v>22</v>
      </c>
      <c r="C970" s="8"/>
      <c r="D970" s="6">
        <v>126596.4</v>
      </c>
      <c r="E970" s="6">
        <v>121998.04</v>
      </c>
      <c r="F970" s="6">
        <f>D970</f>
        <v>126596.4</v>
      </c>
      <c r="G970" s="6"/>
      <c r="H970" s="6">
        <f>-19268.21-547-4598.36</f>
        <v>-24413.57</v>
      </c>
    </row>
    <row r="971" spans="1:8" ht="22.5">
      <c r="A971" s="4">
        <v>4</v>
      </c>
      <c r="B971" s="5" t="s">
        <v>23</v>
      </c>
      <c r="C971" s="8"/>
      <c r="D971" s="6"/>
      <c r="E971" s="6"/>
      <c r="F971" s="6"/>
      <c r="G971" s="6"/>
      <c r="H971" s="6"/>
    </row>
    <row r="972" spans="1:8" ht="22.5">
      <c r="A972" s="4">
        <v>5</v>
      </c>
      <c r="B972" s="5" t="s">
        <v>24</v>
      </c>
      <c r="C972" s="8">
        <v>60931.13</v>
      </c>
      <c r="D972" s="6">
        <v>68066.42</v>
      </c>
      <c r="E972" s="6">
        <f>'[1]текущий 2017'!$B$1315</f>
        <v>71961.49</v>
      </c>
      <c r="F972" s="6">
        <f>'[1]текущий 2017'!$C$1316</f>
        <v>36344.85</v>
      </c>
      <c r="G972" s="6">
        <f>C972+E972-F972</f>
        <v>96547.76999999999</v>
      </c>
      <c r="H972" s="6">
        <v>-15175.18</v>
      </c>
    </row>
    <row r="973" spans="1:8" ht="22.5">
      <c r="A973" s="4">
        <v>6</v>
      </c>
      <c r="B973" s="5" t="s">
        <v>25</v>
      </c>
      <c r="C973" s="8">
        <v>-67913.28</v>
      </c>
      <c r="D973" s="6"/>
      <c r="E973" s="6">
        <v>67913.28</v>
      </c>
      <c r="F973" s="6"/>
      <c r="G973" s="6">
        <f>C973+E973-F973</f>
        <v>0</v>
      </c>
      <c r="H973" s="6">
        <v>-111899.67</v>
      </c>
    </row>
    <row r="974" spans="1:8" ht="33.75">
      <c r="A974" s="24" t="s">
        <v>395</v>
      </c>
      <c r="B974" s="26" t="s">
        <v>401</v>
      </c>
      <c r="C974" s="27">
        <v>122990</v>
      </c>
      <c r="D974" s="6"/>
      <c r="E974" s="6"/>
      <c r="F974" s="6"/>
      <c r="G974" s="6"/>
      <c r="H974" s="6"/>
    </row>
    <row r="975" spans="1:8" ht="22.5">
      <c r="A975" s="4">
        <v>7</v>
      </c>
      <c r="B975" s="5" t="s">
        <v>26</v>
      </c>
      <c r="C975" s="5">
        <f aca="true" t="shared" si="25" ref="C975:H975">C976+C977+C978+C979</f>
        <v>0</v>
      </c>
      <c r="D975" s="5">
        <f t="shared" si="25"/>
        <v>1463222.17</v>
      </c>
      <c r="E975" s="8">
        <f t="shared" si="25"/>
        <v>1445224.8699999999</v>
      </c>
      <c r="F975" s="8">
        <f t="shared" si="25"/>
        <v>1447674.06</v>
      </c>
      <c r="G975" s="5">
        <f t="shared" si="25"/>
        <v>0</v>
      </c>
      <c r="H975" s="5">
        <f t="shared" si="25"/>
        <v>-528741.8300000001</v>
      </c>
    </row>
    <row r="976" spans="1:8" ht="12.75">
      <c r="A976" s="4" t="s">
        <v>27</v>
      </c>
      <c r="B976" s="5" t="s">
        <v>28</v>
      </c>
      <c r="C976" s="5"/>
      <c r="D976" s="4">
        <v>30427.93</v>
      </c>
      <c r="E976" s="6">
        <v>27978.74</v>
      </c>
      <c r="F976" s="6">
        <f>D976</f>
        <v>30427.93</v>
      </c>
      <c r="G976" s="4"/>
      <c r="H976" s="4">
        <f>-2449.19</f>
        <v>-2449.19</v>
      </c>
    </row>
    <row r="977" spans="1:8" ht="33.75">
      <c r="A977" s="4" t="s">
        <v>29</v>
      </c>
      <c r="B977" s="5" t="s">
        <v>30</v>
      </c>
      <c r="C977" s="5"/>
      <c r="D977" s="4">
        <v>250971.26</v>
      </c>
      <c r="E977" s="6">
        <v>243819.99</v>
      </c>
      <c r="F977" s="6">
        <f>E977</f>
        <v>243819.99</v>
      </c>
      <c r="G977" s="4">
        <f>E977-F977</f>
        <v>0</v>
      </c>
      <c r="H977" s="4">
        <f>-47896.72-1485-7151.27</f>
        <v>-56532.990000000005</v>
      </c>
    </row>
    <row r="978" spans="1:8" ht="22.5">
      <c r="A978" s="4" t="s">
        <v>31</v>
      </c>
      <c r="B978" s="5" t="s">
        <v>32</v>
      </c>
      <c r="C978" s="5"/>
      <c r="D978" s="4">
        <v>445153.51</v>
      </c>
      <c r="E978" s="6">
        <v>441113.18</v>
      </c>
      <c r="F978" s="6">
        <f>E978</f>
        <v>441113.18</v>
      </c>
      <c r="G978" s="4"/>
      <c r="H978" s="4">
        <f>-92123.94-5248-4040.33</f>
        <v>-101412.27</v>
      </c>
    </row>
    <row r="979" spans="1:8" ht="22.5">
      <c r="A979" s="4" t="s">
        <v>33</v>
      </c>
      <c r="B979" s="5" t="s">
        <v>34</v>
      </c>
      <c r="C979" s="5"/>
      <c r="D979" s="4">
        <v>736669.47</v>
      </c>
      <c r="E979" s="6">
        <v>732312.96</v>
      </c>
      <c r="F979" s="6">
        <f>E979</f>
        <v>732312.96</v>
      </c>
      <c r="G979" s="4">
        <f>E979-F979</f>
        <v>0</v>
      </c>
      <c r="H979" s="4">
        <f>-316134.87-47856-4356.51</f>
        <v>-368347.38</v>
      </c>
    </row>
    <row r="980" spans="1:8" ht="56.25">
      <c r="A980" s="4"/>
      <c r="B980" s="23" t="s">
        <v>389</v>
      </c>
      <c r="C980" s="4">
        <v>21600</v>
      </c>
      <c r="D980" s="4">
        <v>7200</v>
      </c>
      <c r="E980" s="4">
        <v>7200</v>
      </c>
      <c r="F980" s="4"/>
      <c r="G980" s="4">
        <f>C980+E980</f>
        <v>28800</v>
      </c>
      <c r="H980" s="4"/>
    </row>
    <row r="981" spans="1:8" ht="39" customHeight="1">
      <c r="A981" s="4"/>
      <c r="B981" s="4"/>
      <c r="C981" s="4"/>
      <c r="D981" s="4"/>
      <c r="E981" s="4"/>
      <c r="F981" s="4"/>
      <c r="G981" s="4"/>
      <c r="H981" s="4"/>
    </row>
    <row r="982" spans="1:8" ht="89.25" customHeight="1">
      <c r="A982" s="29"/>
      <c r="B982" s="29"/>
      <c r="C982" s="29"/>
      <c r="D982" s="29"/>
      <c r="E982" s="29"/>
      <c r="F982" s="29"/>
      <c r="G982" s="29"/>
      <c r="H982" s="29"/>
    </row>
    <row r="983" ht="12.75">
      <c r="A983" t="s">
        <v>0</v>
      </c>
    </row>
    <row r="984" ht="12.75">
      <c r="A984" t="s">
        <v>291</v>
      </c>
    </row>
    <row r="985" ht="12.75">
      <c r="A985" t="s">
        <v>1</v>
      </c>
    </row>
    <row r="986" ht="12.75">
      <c r="A986" t="s">
        <v>416</v>
      </c>
    </row>
    <row r="988" ht="12.75">
      <c r="A988" t="s">
        <v>2</v>
      </c>
    </row>
    <row r="990" ht="12.75">
      <c r="A990" t="s">
        <v>60</v>
      </c>
    </row>
    <row r="991" ht="12.75">
      <c r="A991" t="s">
        <v>129</v>
      </c>
    </row>
    <row r="992" ht="12.75">
      <c r="A992" t="s">
        <v>4</v>
      </c>
    </row>
    <row r="993" ht="12.75">
      <c r="A993" t="s">
        <v>130</v>
      </c>
    </row>
    <row r="994" ht="12.75">
      <c r="A994" t="s">
        <v>5</v>
      </c>
    </row>
    <row r="996" ht="12.75">
      <c r="A996" t="s">
        <v>6</v>
      </c>
    </row>
    <row r="997" ht="12.75">
      <c r="A997" t="s">
        <v>7</v>
      </c>
    </row>
    <row r="999" spans="1:8" ht="12.75">
      <c r="A999" s="4" t="s">
        <v>8</v>
      </c>
      <c r="B999" s="4" t="s">
        <v>13</v>
      </c>
      <c r="C999" s="4" t="s">
        <v>9</v>
      </c>
      <c r="D999" s="4" t="s">
        <v>10</v>
      </c>
      <c r="E999" s="4" t="s">
        <v>15</v>
      </c>
      <c r="F999" s="4" t="s">
        <v>16</v>
      </c>
      <c r="G999" s="4" t="s">
        <v>9</v>
      </c>
      <c r="H999" s="4" t="s">
        <v>11</v>
      </c>
    </row>
    <row r="1000" spans="1:8" ht="12.75">
      <c r="A1000" s="4"/>
      <c r="B1000" s="4"/>
      <c r="C1000" s="4" t="s">
        <v>417</v>
      </c>
      <c r="D1000" s="4" t="s">
        <v>418</v>
      </c>
      <c r="E1000" s="4" t="s">
        <v>14</v>
      </c>
      <c r="F1000" s="4" t="s">
        <v>17</v>
      </c>
      <c r="G1000" s="4" t="s">
        <v>420</v>
      </c>
      <c r="H1000" s="4" t="s">
        <v>12</v>
      </c>
    </row>
    <row r="1001" spans="1:8" ht="12.75">
      <c r="A1001" s="4"/>
      <c r="B1001" s="4"/>
      <c r="C1001" s="4"/>
      <c r="D1001" s="4"/>
      <c r="E1001" s="4" t="s">
        <v>419</v>
      </c>
      <c r="F1001" s="4" t="s">
        <v>419</v>
      </c>
      <c r="G1001" s="4"/>
      <c r="H1001" s="4" t="s">
        <v>421</v>
      </c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22.5">
      <c r="A1003" s="4">
        <v>1</v>
      </c>
      <c r="B1003" s="5" t="s">
        <v>18</v>
      </c>
      <c r="C1003" s="6"/>
      <c r="D1003" s="6">
        <v>329266.21</v>
      </c>
      <c r="E1003" s="6">
        <v>314604.56</v>
      </c>
      <c r="F1003" s="6">
        <f>D1003</f>
        <v>329266.21</v>
      </c>
      <c r="G1003" s="6"/>
      <c r="H1003" s="6">
        <f>-77915+14563-14661.65</f>
        <v>-78013.65</v>
      </c>
    </row>
    <row r="1004" spans="1:8" ht="12.75">
      <c r="A1004" s="4">
        <v>2</v>
      </c>
      <c r="B1004" s="5" t="s">
        <v>21</v>
      </c>
      <c r="C1004" s="8"/>
      <c r="D1004" s="6"/>
      <c r="E1004" s="6"/>
      <c r="F1004" s="6"/>
      <c r="G1004" s="6"/>
      <c r="H1004" s="6"/>
    </row>
    <row r="1005" spans="1:8" ht="12.75">
      <c r="A1005" s="4">
        <v>3</v>
      </c>
      <c r="B1005" s="5" t="s">
        <v>22</v>
      </c>
      <c r="C1005" s="8"/>
      <c r="D1005" s="6">
        <v>134578.23</v>
      </c>
      <c r="E1005" s="6">
        <v>130540.43</v>
      </c>
      <c r="F1005" s="6">
        <f>D1005</f>
        <v>134578.23</v>
      </c>
      <c r="G1005" s="6"/>
      <c r="H1005" s="6">
        <f>-21869.09+5122-4037.8</f>
        <v>-20784.89</v>
      </c>
    </row>
    <row r="1006" spans="1:8" ht="22.5">
      <c r="A1006" s="4">
        <v>4</v>
      </c>
      <c r="B1006" s="5" t="s">
        <v>23</v>
      </c>
      <c r="C1006" s="8"/>
      <c r="D1006" s="6"/>
      <c r="E1006" s="6"/>
      <c r="F1006" s="6"/>
      <c r="G1006" s="6"/>
      <c r="H1006" s="6"/>
    </row>
    <row r="1007" spans="1:8" ht="22.5">
      <c r="A1007" s="4">
        <v>5</v>
      </c>
      <c r="B1007" s="5" t="s">
        <v>24</v>
      </c>
      <c r="C1007" s="8">
        <v>84653.85</v>
      </c>
      <c r="D1007" s="6">
        <v>72357.96</v>
      </c>
      <c r="E1007" s="6">
        <f>'[1]текущий 2017'!$B$1366</f>
        <v>73408.43</v>
      </c>
      <c r="F1007" s="6">
        <f>'[1]текущий 2017'!$C$1367</f>
        <v>2909.3900000000003</v>
      </c>
      <c r="G1007" s="6">
        <f>E1007-F1007+C1007</f>
        <v>155152.89</v>
      </c>
      <c r="H1007" s="6">
        <v>-24189.15</v>
      </c>
    </row>
    <row r="1008" spans="1:8" ht="22.5">
      <c r="A1008" s="4">
        <v>6</v>
      </c>
      <c r="B1008" s="5" t="s">
        <v>25</v>
      </c>
      <c r="C1008" s="8">
        <v>112073.31</v>
      </c>
      <c r="D1008" s="6"/>
      <c r="E1008" s="6"/>
      <c r="F1008" s="6"/>
      <c r="G1008" s="6">
        <v>112073.31</v>
      </c>
      <c r="H1008" s="6">
        <v>-10906.39</v>
      </c>
    </row>
    <row r="1009" spans="1:8" ht="33.75">
      <c r="A1009" s="24" t="s">
        <v>395</v>
      </c>
      <c r="B1009" s="26" t="s">
        <v>401</v>
      </c>
      <c r="C1009" s="27">
        <v>125820</v>
      </c>
      <c r="D1009" s="6"/>
      <c r="E1009" s="6"/>
      <c r="F1009" s="6"/>
      <c r="G1009" s="6"/>
      <c r="H1009" s="6"/>
    </row>
    <row r="1010" spans="1:8" ht="22.5">
      <c r="A1010" s="4">
        <v>7</v>
      </c>
      <c r="B1010" s="5" t="s">
        <v>26</v>
      </c>
      <c r="C1010" s="5">
        <f aca="true" t="shared" si="26" ref="C1010:H1010">C1011+C1012+C1013+C1014</f>
        <v>0</v>
      </c>
      <c r="D1010" s="5">
        <f t="shared" si="26"/>
        <v>1733703.9</v>
      </c>
      <c r="E1010" s="8">
        <f t="shared" si="26"/>
        <v>1663088.3199999998</v>
      </c>
      <c r="F1010" s="8">
        <f t="shared" si="26"/>
        <v>1666948.99</v>
      </c>
      <c r="G1010" s="5"/>
      <c r="H1010" s="5">
        <f t="shared" si="26"/>
        <v>-669469.64</v>
      </c>
    </row>
    <row r="1011" spans="1:8" ht="12.75">
      <c r="A1011" s="4" t="s">
        <v>27</v>
      </c>
      <c r="B1011" s="5" t="s">
        <v>28</v>
      </c>
      <c r="C1011" s="5"/>
      <c r="D1011" s="4">
        <v>31237.86</v>
      </c>
      <c r="E1011" s="6">
        <v>27377.19</v>
      </c>
      <c r="F1011" s="6">
        <f>D1011</f>
        <v>31237.86</v>
      </c>
      <c r="G1011" s="4"/>
      <c r="H1011" s="4">
        <f>-3860.67</f>
        <v>-3860.67</v>
      </c>
    </row>
    <row r="1012" spans="1:8" ht="33.75">
      <c r="A1012" s="4" t="s">
        <v>29</v>
      </c>
      <c r="B1012" s="5" t="s">
        <v>30</v>
      </c>
      <c r="C1012" s="5"/>
      <c r="D1012" s="4">
        <v>360369.03</v>
      </c>
      <c r="E1012" s="6">
        <v>337357.95</v>
      </c>
      <c r="F1012" s="6">
        <f>E1012</f>
        <v>337357.95</v>
      </c>
      <c r="G1012" s="4">
        <f>E1012-F1012</f>
        <v>0</v>
      </c>
      <c r="H1012" s="4">
        <f>-87628.34+15478-23011.08</f>
        <v>-95161.42</v>
      </c>
    </row>
    <row r="1013" spans="1:8" ht="22.5">
      <c r="A1013" s="4" t="s">
        <v>31</v>
      </c>
      <c r="B1013" s="5" t="s">
        <v>32</v>
      </c>
      <c r="C1013" s="5"/>
      <c r="D1013" s="4">
        <v>494865.03</v>
      </c>
      <c r="E1013" s="6">
        <v>473346.57</v>
      </c>
      <c r="F1013" s="6">
        <f>E1013</f>
        <v>473346.57</v>
      </c>
      <c r="G1013" s="4"/>
      <c r="H1013" s="4">
        <f>-186008.88+19854-21518.46</f>
        <v>-187673.34</v>
      </c>
    </row>
    <row r="1014" spans="1:8" ht="22.5">
      <c r="A1014" s="4" t="s">
        <v>33</v>
      </c>
      <c r="B1014" s="5" t="s">
        <v>34</v>
      </c>
      <c r="C1014" s="5"/>
      <c r="D1014" s="4">
        <v>847231.98</v>
      </c>
      <c r="E1014" s="6">
        <v>825006.61</v>
      </c>
      <c r="F1014" s="6">
        <f>E1014</f>
        <v>825006.61</v>
      </c>
      <c r="G1014" s="4">
        <f>E1014-F1014</f>
        <v>0</v>
      </c>
      <c r="H1014" s="4">
        <f>-315312.84-45236-22225.37</f>
        <v>-382774.21</v>
      </c>
    </row>
    <row r="1015" spans="1:8" ht="57.75" customHeight="1">
      <c r="A1015" s="4"/>
      <c r="B1015" s="23" t="s">
        <v>389</v>
      </c>
      <c r="C1015" s="4">
        <v>21600</v>
      </c>
      <c r="D1015" s="4">
        <v>7200</v>
      </c>
      <c r="E1015" s="4">
        <v>7200</v>
      </c>
      <c r="F1015" s="4"/>
      <c r="G1015" s="4">
        <f>C1015+E1015</f>
        <v>28800</v>
      </c>
      <c r="H1015" s="4"/>
    </row>
    <row r="1016" spans="1:8" ht="136.5" customHeight="1">
      <c r="A1016" s="29"/>
      <c r="B1016" s="31"/>
      <c r="C1016" s="29"/>
      <c r="D1016" s="29"/>
      <c r="E1016" s="29"/>
      <c r="F1016" s="29"/>
      <c r="G1016" s="29"/>
      <c r="H1016" s="29"/>
    </row>
    <row r="1017" ht="16.5" customHeight="1">
      <c r="A1017" t="s">
        <v>0</v>
      </c>
    </row>
    <row r="1018" ht="12.75">
      <c r="A1018" t="s">
        <v>291</v>
      </c>
    </row>
    <row r="1019" ht="12.75">
      <c r="A1019" t="s">
        <v>1</v>
      </c>
    </row>
    <row r="1020" ht="12.75">
      <c r="A1020" t="s">
        <v>416</v>
      </c>
    </row>
    <row r="1022" ht="12.75">
      <c r="A1022" t="s">
        <v>2</v>
      </c>
    </row>
    <row r="1024" ht="12.75">
      <c r="A1024" t="s">
        <v>61</v>
      </c>
    </row>
    <row r="1025" ht="12.75">
      <c r="A1025" t="s">
        <v>131</v>
      </c>
    </row>
    <row r="1026" ht="12.75">
      <c r="A1026" t="s">
        <v>4</v>
      </c>
    </row>
    <row r="1027" ht="12.75">
      <c r="A1027" t="s">
        <v>132</v>
      </c>
    </row>
    <row r="1028" ht="12.75">
      <c r="A1028" t="s">
        <v>5</v>
      </c>
    </row>
    <row r="1030" ht="12.75">
      <c r="A1030" t="s">
        <v>6</v>
      </c>
    </row>
    <row r="1031" ht="12.75">
      <c r="A1031" t="s">
        <v>7</v>
      </c>
    </row>
    <row r="1033" spans="1:8" ht="12.75">
      <c r="A1033" s="4" t="s">
        <v>8</v>
      </c>
      <c r="B1033" s="4" t="s">
        <v>13</v>
      </c>
      <c r="C1033" s="4" t="s">
        <v>9</v>
      </c>
      <c r="D1033" s="4" t="s">
        <v>10</v>
      </c>
      <c r="E1033" s="4" t="s">
        <v>15</v>
      </c>
      <c r="F1033" s="4" t="s">
        <v>16</v>
      </c>
      <c r="G1033" s="4" t="s">
        <v>9</v>
      </c>
      <c r="H1033" s="4" t="s">
        <v>11</v>
      </c>
    </row>
    <row r="1034" spans="1:8" ht="12.75">
      <c r="A1034" s="4"/>
      <c r="B1034" s="4"/>
      <c r="C1034" s="4" t="s">
        <v>417</v>
      </c>
      <c r="D1034" s="4" t="s">
        <v>418</v>
      </c>
      <c r="E1034" s="4" t="s">
        <v>14</v>
      </c>
      <c r="F1034" s="4" t="s">
        <v>17</v>
      </c>
      <c r="G1034" s="4" t="s">
        <v>420</v>
      </c>
      <c r="H1034" s="4" t="s">
        <v>12</v>
      </c>
    </row>
    <row r="1035" spans="1:8" ht="12.75">
      <c r="A1035" s="4"/>
      <c r="B1035" s="4"/>
      <c r="C1035" s="4"/>
      <c r="D1035" s="4"/>
      <c r="E1035" s="4" t="s">
        <v>419</v>
      </c>
      <c r="F1035" s="4" t="s">
        <v>419</v>
      </c>
      <c r="G1035" s="4"/>
      <c r="H1035" s="4" t="s">
        <v>421</v>
      </c>
    </row>
    <row r="1036" spans="1:8" ht="12.75">
      <c r="A1036" s="4"/>
      <c r="B1036" s="4"/>
      <c r="C1036" s="4"/>
      <c r="D1036" s="4"/>
      <c r="E1036" s="4"/>
      <c r="F1036" s="4"/>
      <c r="G1036" s="4"/>
      <c r="H1036" s="4"/>
    </row>
    <row r="1037" spans="1:8" ht="22.5">
      <c r="A1037" s="4">
        <v>1</v>
      </c>
      <c r="B1037" s="5" t="s">
        <v>18</v>
      </c>
      <c r="C1037" s="6"/>
      <c r="D1037" s="6">
        <v>319954.44</v>
      </c>
      <c r="E1037" s="6">
        <v>309313.1</v>
      </c>
      <c r="F1037" s="6">
        <f>D1037</f>
        <v>319954.44</v>
      </c>
      <c r="G1037" s="6"/>
      <c r="H1037" s="6">
        <f>-32970.79+1256-10641.34</f>
        <v>-42356.130000000005</v>
      </c>
    </row>
    <row r="1038" spans="1:8" ht="12.75">
      <c r="A1038" s="4">
        <v>2</v>
      </c>
      <c r="B1038" s="5" t="s">
        <v>21</v>
      </c>
      <c r="C1038" s="8"/>
      <c r="D1038" s="6"/>
      <c r="E1038" s="6"/>
      <c r="F1038" s="6"/>
      <c r="G1038" s="6"/>
      <c r="H1038" s="6"/>
    </row>
    <row r="1039" spans="1:8" ht="12.75">
      <c r="A1039" s="4">
        <v>3</v>
      </c>
      <c r="B1039" s="5" t="s">
        <v>22</v>
      </c>
      <c r="C1039" s="8"/>
      <c r="D1039" s="6">
        <v>135890.31</v>
      </c>
      <c r="E1039" s="6">
        <v>129372.78</v>
      </c>
      <c r="F1039" s="6">
        <f>D1039</f>
        <v>135890.31</v>
      </c>
      <c r="G1039" s="6"/>
      <c r="H1039" s="6">
        <f>-20825.71+1456-6517.53</f>
        <v>-25887.239999999998</v>
      </c>
    </row>
    <row r="1040" spans="1:8" ht="22.5">
      <c r="A1040" s="4">
        <v>4</v>
      </c>
      <c r="B1040" s="5" t="s">
        <v>23</v>
      </c>
      <c r="C1040" s="8"/>
      <c r="D1040" s="6"/>
      <c r="E1040" s="6"/>
      <c r="F1040" s="6"/>
      <c r="G1040" s="6"/>
      <c r="H1040" s="6"/>
    </row>
    <row r="1041" spans="1:8" ht="22.5">
      <c r="A1041" s="4">
        <v>5</v>
      </c>
      <c r="B1041" s="5" t="s">
        <v>24</v>
      </c>
      <c r="C1041" s="8">
        <v>102566.86</v>
      </c>
      <c r="D1041" s="6">
        <v>73063.32</v>
      </c>
      <c r="E1041" s="6">
        <f>'[1]текущий 2017'!$B$1412</f>
        <v>69953.73000000001</v>
      </c>
      <c r="F1041" s="6">
        <f>'[1]текущий 2017'!$C$1413</f>
        <v>72200.06</v>
      </c>
      <c r="G1041" s="6">
        <f>E1041-F1041+C1041</f>
        <v>100320.53000000001</v>
      </c>
      <c r="H1041" s="6">
        <f>-22753.02-3764.56</f>
        <v>-26517.58</v>
      </c>
    </row>
    <row r="1042" spans="1:8" ht="22.5">
      <c r="A1042" s="4">
        <v>6</v>
      </c>
      <c r="B1042" s="5" t="s">
        <v>25</v>
      </c>
      <c r="C1042" s="8">
        <v>1647.6</v>
      </c>
      <c r="D1042" s="6"/>
      <c r="E1042" s="6"/>
      <c r="F1042" s="6"/>
      <c r="G1042" s="6">
        <f>C1042-F1042</f>
        <v>1647.6</v>
      </c>
      <c r="H1042" s="6"/>
    </row>
    <row r="1043" spans="1:8" ht="22.5">
      <c r="A1043" s="4">
        <v>7</v>
      </c>
      <c r="B1043" s="5" t="s">
        <v>26</v>
      </c>
      <c r="C1043" s="5">
        <f aca="true" t="shared" si="27" ref="C1043:H1043">C1044+C1045+C1046+C1047</f>
        <v>0</v>
      </c>
      <c r="D1043" s="5">
        <f t="shared" si="27"/>
        <v>2037664.82</v>
      </c>
      <c r="E1043" s="8">
        <f t="shared" si="27"/>
        <v>1941581.01</v>
      </c>
      <c r="F1043" s="8">
        <f t="shared" si="27"/>
        <v>1944329.68</v>
      </c>
      <c r="G1043" s="5">
        <f t="shared" si="27"/>
        <v>0</v>
      </c>
      <c r="H1043" s="5">
        <f t="shared" si="27"/>
        <v>-584001.53</v>
      </c>
    </row>
    <row r="1044" spans="1:8" ht="12.75">
      <c r="A1044" s="4" t="s">
        <v>27</v>
      </c>
      <c r="B1044" s="5" t="s">
        <v>28</v>
      </c>
      <c r="C1044" s="5"/>
      <c r="D1044" s="4">
        <v>31320.91</v>
      </c>
      <c r="E1044" s="6">
        <v>28572.24</v>
      </c>
      <c r="F1044" s="6">
        <f>D1044</f>
        <v>31320.91</v>
      </c>
      <c r="G1044" s="4"/>
      <c r="H1044" s="4">
        <f>-2748.67</f>
        <v>-2748.67</v>
      </c>
    </row>
    <row r="1045" spans="1:8" ht="33.75">
      <c r="A1045" s="4" t="s">
        <v>29</v>
      </c>
      <c r="B1045" s="5" t="s">
        <v>30</v>
      </c>
      <c r="C1045" s="5"/>
      <c r="D1045" s="4">
        <v>321290.61</v>
      </c>
      <c r="E1045" s="6">
        <v>306188.12</v>
      </c>
      <c r="F1045" s="6">
        <f>E1045</f>
        <v>306188.12</v>
      </c>
      <c r="G1045" s="4">
        <f>E1045-F1045</f>
        <v>0</v>
      </c>
      <c r="H1045" s="4">
        <f>-45170.5+4563-15102.49</f>
        <v>-55709.99</v>
      </c>
    </row>
    <row r="1046" spans="1:8" ht="22.5">
      <c r="A1046" s="4" t="s">
        <v>31</v>
      </c>
      <c r="B1046" s="5" t="s">
        <v>32</v>
      </c>
      <c r="C1046" s="5"/>
      <c r="D1046" s="4">
        <v>510973.22</v>
      </c>
      <c r="E1046" s="6">
        <v>482385.94</v>
      </c>
      <c r="F1046" s="6">
        <f>E1046</f>
        <v>482385.94</v>
      </c>
      <c r="G1046" s="4"/>
      <c r="H1046" s="4">
        <f>-90960.56+11254-28587.28</f>
        <v>-108293.84</v>
      </c>
    </row>
    <row r="1047" spans="1:8" ht="22.5">
      <c r="A1047" s="4" t="s">
        <v>33</v>
      </c>
      <c r="B1047" s="5" t="s">
        <v>34</v>
      </c>
      <c r="C1047" s="5"/>
      <c r="D1047" s="4">
        <v>1174080.08</v>
      </c>
      <c r="E1047" s="6">
        <v>1124434.71</v>
      </c>
      <c r="F1047" s="6">
        <f>E1047</f>
        <v>1124434.71</v>
      </c>
      <c r="G1047" s="4">
        <f>E1047-F1047</f>
        <v>0</v>
      </c>
      <c r="H1047" s="4">
        <f>-339191.66-28412-49645.37</f>
        <v>-417249.02999999997</v>
      </c>
    </row>
    <row r="1048" spans="1:8" ht="56.25">
      <c r="A1048" s="4"/>
      <c r="B1048" s="23" t="s">
        <v>389</v>
      </c>
      <c r="C1048" s="4">
        <v>21600</v>
      </c>
      <c r="D1048" s="4">
        <v>7200</v>
      </c>
      <c r="E1048" s="4">
        <v>7200</v>
      </c>
      <c r="F1048" s="4"/>
      <c r="G1048" s="4">
        <f>C1048+E1048</f>
        <v>28800</v>
      </c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2" ht="128.25" customHeight="1"/>
    <row r="1053" ht="12.75">
      <c r="A1053" t="s">
        <v>0</v>
      </c>
    </row>
    <row r="1054" ht="12.75">
      <c r="A1054" t="s">
        <v>291</v>
      </c>
    </row>
    <row r="1055" ht="12.75">
      <c r="A1055" t="s">
        <v>1</v>
      </c>
    </row>
    <row r="1056" ht="12.75">
      <c r="A1056" t="s">
        <v>416</v>
      </c>
    </row>
    <row r="1058" ht="12.75">
      <c r="A1058" t="s">
        <v>2</v>
      </c>
    </row>
    <row r="1060" ht="12.75">
      <c r="A1060" t="s">
        <v>62</v>
      </c>
    </row>
    <row r="1061" ht="12.75">
      <c r="A1061" t="s">
        <v>133</v>
      </c>
    </row>
    <row r="1062" ht="12.75">
      <c r="A1062" t="s">
        <v>4</v>
      </c>
    </row>
    <row r="1063" ht="12.75">
      <c r="A1063" t="s">
        <v>134</v>
      </c>
    </row>
    <row r="1064" ht="12.75">
      <c r="A1064" t="s">
        <v>135</v>
      </c>
    </row>
    <row r="1066" ht="12.75">
      <c r="A1066" t="s">
        <v>6</v>
      </c>
    </row>
    <row r="1067" ht="12.75">
      <c r="A1067" t="s">
        <v>7</v>
      </c>
    </row>
    <row r="1069" spans="1:8" ht="12.75">
      <c r="A1069" s="4" t="s">
        <v>8</v>
      </c>
      <c r="B1069" s="4" t="s">
        <v>13</v>
      </c>
      <c r="C1069" s="4" t="s">
        <v>9</v>
      </c>
      <c r="D1069" s="4" t="s">
        <v>10</v>
      </c>
      <c r="E1069" s="4" t="s">
        <v>15</v>
      </c>
      <c r="F1069" s="4" t="s">
        <v>16</v>
      </c>
      <c r="G1069" s="4" t="s">
        <v>9</v>
      </c>
      <c r="H1069" s="4" t="s">
        <v>11</v>
      </c>
    </row>
    <row r="1070" spans="1:8" ht="12.75">
      <c r="A1070" s="4"/>
      <c r="B1070" s="4"/>
      <c r="C1070" s="4" t="s">
        <v>417</v>
      </c>
      <c r="D1070" s="4" t="s">
        <v>418</v>
      </c>
      <c r="E1070" s="4" t="s">
        <v>14</v>
      </c>
      <c r="F1070" s="4" t="s">
        <v>17</v>
      </c>
      <c r="G1070" s="4" t="s">
        <v>420</v>
      </c>
      <c r="H1070" s="4" t="s">
        <v>12</v>
      </c>
    </row>
    <row r="1071" spans="1:8" ht="12.75">
      <c r="A1071" s="4"/>
      <c r="B1071" s="4"/>
      <c r="C1071" s="4"/>
      <c r="D1071" s="4"/>
      <c r="E1071" s="4" t="s">
        <v>419</v>
      </c>
      <c r="F1071" s="4" t="s">
        <v>419</v>
      </c>
      <c r="G1071" s="4"/>
      <c r="H1071" s="4" t="s">
        <v>421</v>
      </c>
    </row>
    <row r="1072" spans="1:8" ht="12.75">
      <c r="A1072" s="4"/>
      <c r="B1072" s="4"/>
      <c r="C1072" s="4"/>
      <c r="D1072" s="4"/>
      <c r="E1072" s="4"/>
      <c r="F1072" s="4"/>
      <c r="G1072" s="4"/>
      <c r="H1072" s="4"/>
    </row>
    <row r="1073" spans="1:8" ht="22.5">
      <c r="A1073" s="4">
        <v>1</v>
      </c>
      <c r="B1073" s="5" t="s">
        <v>18</v>
      </c>
      <c r="C1073" s="6"/>
      <c r="D1073" s="6">
        <v>322698.42</v>
      </c>
      <c r="E1073" s="6">
        <v>319135.33</v>
      </c>
      <c r="F1073" s="6">
        <f>D1073</f>
        <v>322698.42</v>
      </c>
      <c r="G1073" s="6"/>
      <c r="H1073" s="6">
        <f>-56946.34+13289-3563.09</f>
        <v>-47220.42999999999</v>
      </c>
    </row>
    <row r="1074" spans="1:8" ht="12.75">
      <c r="A1074" s="4">
        <v>2</v>
      </c>
      <c r="B1074" s="5" t="s">
        <v>21</v>
      </c>
      <c r="C1074" s="8"/>
      <c r="D1074" s="6"/>
      <c r="E1074" s="6"/>
      <c r="F1074" s="6"/>
      <c r="G1074" s="6"/>
      <c r="H1074" s="6"/>
    </row>
    <row r="1075" spans="1:8" ht="12.75">
      <c r="A1075" s="4">
        <v>3</v>
      </c>
      <c r="B1075" s="5" t="s">
        <v>22</v>
      </c>
      <c r="C1075" s="8"/>
      <c r="D1075" s="6">
        <v>131812.35</v>
      </c>
      <c r="E1075" s="6">
        <v>130340.58</v>
      </c>
      <c r="F1075" s="6">
        <f>D1075</f>
        <v>131812.35</v>
      </c>
      <c r="G1075" s="6"/>
      <c r="H1075" s="6">
        <f>-17626.21+4582-1471.77</f>
        <v>-14515.98</v>
      </c>
    </row>
    <row r="1076" spans="1:8" ht="22.5">
      <c r="A1076" s="4">
        <v>4</v>
      </c>
      <c r="B1076" s="5" t="s">
        <v>23</v>
      </c>
      <c r="C1076" s="8"/>
      <c r="D1076" s="6"/>
      <c r="E1076" s="6"/>
      <c r="F1076" s="6"/>
      <c r="G1076" s="6"/>
      <c r="H1076" s="6"/>
    </row>
    <row r="1077" spans="1:8" ht="22.5">
      <c r="A1077" s="4">
        <v>5</v>
      </c>
      <c r="B1077" s="5" t="s">
        <v>24</v>
      </c>
      <c r="C1077" s="8">
        <v>28575.61</v>
      </c>
      <c r="D1077" s="6">
        <v>70870.2</v>
      </c>
      <c r="E1077" s="6">
        <f>'[1]текущий 2017'!$B$1463</f>
        <v>73461.3</v>
      </c>
      <c r="F1077" s="6">
        <f>'[1]текущий 2017'!$C$1464</f>
        <v>36734.079999999994</v>
      </c>
      <c r="G1077" s="6">
        <f>C1077+E1077-F1077</f>
        <v>65302.83000000001</v>
      </c>
      <c r="H1077" s="6">
        <v>-16599.1</v>
      </c>
    </row>
    <row r="1078" spans="1:8" ht="22.5">
      <c r="A1078" s="4">
        <v>6</v>
      </c>
      <c r="B1078" s="5" t="s">
        <v>25</v>
      </c>
      <c r="C1078" s="8">
        <v>9.08</v>
      </c>
      <c r="D1078" s="6"/>
      <c r="E1078" s="6"/>
      <c r="F1078" s="6"/>
      <c r="G1078" s="6">
        <v>9.08</v>
      </c>
      <c r="H1078" s="6"/>
    </row>
    <row r="1079" spans="1:8" ht="22.5">
      <c r="A1079" s="4">
        <v>7</v>
      </c>
      <c r="B1079" s="5" t="s">
        <v>26</v>
      </c>
      <c r="C1079" s="5">
        <f aca="true" t="shared" si="28" ref="C1079:H1079">C1080+C1081+C1082+C1083</f>
        <v>0</v>
      </c>
      <c r="D1079" s="5">
        <f t="shared" si="28"/>
        <v>1493943.8599999999</v>
      </c>
      <c r="E1079" s="8">
        <f t="shared" si="28"/>
        <v>1456381.27</v>
      </c>
      <c r="F1079" s="8">
        <f t="shared" si="28"/>
        <v>1457570.92</v>
      </c>
      <c r="G1079" s="5">
        <f t="shared" si="28"/>
        <v>0</v>
      </c>
      <c r="H1079" s="5">
        <f t="shared" si="28"/>
        <v>-489889.21</v>
      </c>
    </row>
    <row r="1080" spans="1:8" ht="12.75">
      <c r="A1080" s="4" t="s">
        <v>27</v>
      </c>
      <c r="B1080" s="5" t="s">
        <v>28</v>
      </c>
      <c r="C1080" s="5"/>
      <c r="D1080" s="4">
        <v>28939.58</v>
      </c>
      <c r="E1080" s="6">
        <v>27749.93</v>
      </c>
      <c r="F1080" s="6">
        <f>D1080</f>
        <v>28939.58</v>
      </c>
      <c r="G1080" s="4"/>
      <c r="H1080" s="4">
        <f>-1189.65</f>
        <v>-1189.65</v>
      </c>
    </row>
    <row r="1081" spans="1:8" ht="33.75">
      <c r="A1081" s="4" t="s">
        <v>29</v>
      </c>
      <c r="B1081" s="5" t="s">
        <v>30</v>
      </c>
      <c r="C1081" s="5"/>
      <c r="D1081" s="4">
        <v>308101.7</v>
      </c>
      <c r="E1081" s="6">
        <v>304788.66</v>
      </c>
      <c r="F1081" s="6">
        <f>E1081</f>
        <v>304788.66</v>
      </c>
      <c r="G1081" s="4">
        <f>E1081-F1081</f>
        <v>0</v>
      </c>
      <c r="H1081" s="4">
        <f>-78206.22+11235-3313.04</f>
        <v>-70284.26</v>
      </c>
    </row>
    <row r="1082" spans="1:8" ht="22.5">
      <c r="A1082" s="4" t="s">
        <v>31</v>
      </c>
      <c r="B1082" s="5" t="s">
        <v>32</v>
      </c>
      <c r="C1082" s="5"/>
      <c r="D1082" s="4">
        <v>474986.68</v>
      </c>
      <c r="E1082" s="6">
        <v>448191.18</v>
      </c>
      <c r="F1082" s="6">
        <f>E1082</f>
        <v>448191.18</v>
      </c>
      <c r="G1082" s="4"/>
      <c r="H1082" s="4">
        <f>-112442.14+24125-26795.5</f>
        <v>-115112.64</v>
      </c>
    </row>
    <row r="1083" spans="1:8" ht="22.5">
      <c r="A1083" s="4" t="s">
        <v>33</v>
      </c>
      <c r="B1083" s="5" t="s">
        <v>34</v>
      </c>
      <c r="C1083" s="5"/>
      <c r="D1083" s="4">
        <v>681915.9</v>
      </c>
      <c r="E1083" s="6">
        <v>675651.5</v>
      </c>
      <c r="F1083" s="6">
        <f>E1083</f>
        <v>675651.5</v>
      </c>
      <c r="G1083" s="4">
        <f>E1083-F1083</f>
        <v>0</v>
      </c>
      <c r="H1083" s="4">
        <f>-287184.26-9854-6264.4</f>
        <v>-303302.66000000003</v>
      </c>
    </row>
    <row r="1084" spans="1:8" ht="56.25">
      <c r="A1084" s="4"/>
      <c r="B1084" s="23" t="s">
        <v>389</v>
      </c>
      <c r="C1084" s="4">
        <v>21600</v>
      </c>
      <c r="D1084" s="4">
        <v>7200</v>
      </c>
      <c r="E1084" s="4">
        <v>7200</v>
      </c>
      <c r="F1084" s="4"/>
      <c r="G1084" s="4">
        <f>C1084+E1084</f>
        <v>28800</v>
      </c>
      <c r="H1084" s="4"/>
    </row>
    <row r="1085" spans="1:8" ht="12.75">
      <c r="A1085" s="4"/>
      <c r="B1085" s="4"/>
      <c r="C1085" s="4"/>
      <c r="D1085" s="4"/>
      <c r="E1085" s="4"/>
      <c r="F1085" s="4"/>
      <c r="G1085" s="4"/>
      <c r="H1085" s="4"/>
    </row>
    <row r="1088" ht="138.75" customHeight="1"/>
    <row r="1089" ht="12.75">
      <c r="A1089" t="s">
        <v>0</v>
      </c>
    </row>
    <row r="1090" ht="12.75">
      <c r="A1090" t="s">
        <v>291</v>
      </c>
    </row>
    <row r="1091" ht="12.75">
      <c r="A1091" t="s">
        <v>1</v>
      </c>
    </row>
    <row r="1092" ht="12.75">
      <c r="A1092" t="s">
        <v>416</v>
      </c>
    </row>
    <row r="1094" ht="12.75">
      <c r="A1094" t="s">
        <v>2</v>
      </c>
    </row>
    <row r="1096" ht="12.75">
      <c r="A1096" t="s">
        <v>63</v>
      </c>
    </row>
    <row r="1097" ht="12.75">
      <c r="A1097" t="s">
        <v>136</v>
      </c>
    </row>
    <row r="1098" ht="12.75">
      <c r="A1098" t="s">
        <v>4</v>
      </c>
    </row>
    <row r="1099" ht="12.75">
      <c r="A1099" t="s">
        <v>137</v>
      </c>
    </row>
    <row r="1100" ht="12.75">
      <c r="A1100" t="s">
        <v>5</v>
      </c>
    </row>
    <row r="1102" ht="12.75">
      <c r="A1102" t="s">
        <v>6</v>
      </c>
    </row>
    <row r="1103" ht="12.75">
      <c r="A1103" t="s">
        <v>7</v>
      </c>
    </row>
    <row r="1105" spans="1:8" ht="12.75">
      <c r="A1105" s="4" t="s">
        <v>8</v>
      </c>
      <c r="B1105" s="4" t="s">
        <v>13</v>
      </c>
      <c r="C1105" s="4" t="s">
        <v>9</v>
      </c>
      <c r="D1105" s="4" t="s">
        <v>10</v>
      </c>
      <c r="E1105" s="4" t="s">
        <v>15</v>
      </c>
      <c r="F1105" s="4" t="s">
        <v>16</v>
      </c>
      <c r="G1105" s="4" t="s">
        <v>9</v>
      </c>
      <c r="H1105" s="4" t="s">
        <v>11</v>
      </c>
    </row>
    <row r="1106" spans="1:8" ht="12.75">
      <c r="A1106" s="4"/>
      <c r="B1106" s="4"/>
      <c r="C1106" s="4" t="s">
        <v>417</v>
      </c>
      <c r="D1106" s="4" t="s">
        <v>418</v>
      </c>
      <c r="E1106" s="4" t="s">
        <v>14</v>
      </c>
      <c r="F1106" s="4" t="s">
        <v>17</v>
      </c>
      <c r="G1106" s="4" t="s">
        <v>420</v>
      </c>
      <c r="H1106" s="4" t="s">
        <v>12</v>
      </c>
    </row>
    <row r="1107" spans="1:8" ht="12.75">
      <c r="A1107" s="4"/>
      <c r="B1107" s="4"/>
      <c r="C1107" s="4"/>
      <c r="D1107" s="4"/>
      <c r="E1107" s="4" t="s">
        <v>419</v>
      </c>
      <c r="F1107" s="4" t="s">
        <v>419</v>
      </c>
      <c r="G1107" s="4"/>
      <c r="H1107" s="4" t="s">
        <v>421</v>
      </c>
    </row>
    <row r="1108" spans="1:8" ht="12.75">
      <c r="A1108" s="4"/>
      <c r="B1108" s="4"/>
      <c r="C1108" s="4"/>
      <c r="D1108" s="4"/>
      <c r="E1108" s="4"/>
      <c r="F1108" s="4"/>
      <c r="G1108" s="4"/>
      <c r="H1108" s="4"/>
    </row>
    <row r="1109" spans="1:8" ht="22.5">
      <c r="A1109" s="4">
        <v>1</v>
      </c>
      <c r="B1109" s="5" t="s">
        <v>18</v>
      </c>
      <c r="C1109" s="6"/>
      <c r="D1109" s="6">
        <v>62294</v>
      </c>
      <c r="E1109" s="6">
        <v>60400</v>
      </c>
      <c r="F1109" s="6">
        <f>D1109</f>
        <v>62294</v>
      </c>
      <c r="G1109" s="6"/>
      <c r="H1109" s="6">
        <f>-6408.51-3995.02-1894</f>
        <v>-12297.53</v>
      </c>
    </row>
    <row r="1110" spans="1:8" ht="12.75">
      <c r="A1110" s="4">
        <v>3</v>
      </c>
      <c r="B1110" s="5" t="s">
        <v>21</v>
      </c>
      <c r="C1110" s="8"/>
      <c r="D1110" s="6"/>
      <c r="E1110" s="6"/>
      <c r="F1110" s="6"/>
      <c r="G1110" s="6"/>
      <c r="H1110" s="6"/>
    </row>
    <row r="1111" spans="1:8" ht="12.75">
      <c r="A1111" s="4">
        <v>4</v>
      </c>
      <c r="B1111" s="5" t="s">
        <v>22</v>
      </c>
      <c r="C1111" s="8"/>
      <c r="D1111" s="6">
        <v>29494.11</v>
      </c>
      <c r="E1111" s="6">
        <v>27940.41</v>
      </c>
      <c r="F1111" s="6">
        <f>D1111</f>
        <v>29494.11</v>
      </c>
      <c r="G1111" s="6"/>
      <c r="H1111" s="6">
        <f>-2067.77-1664.18-1553.7</f>
        <v>-5285.65</v>
      </c>
    </row>
    <row r="1112" spans="1:8" ht="22.5">
      <c r="A1112" s="4">
        <v>5</v>
      </c>
      <c r="B1112" s="5" t="s">
        <v>23</v>
      </c>
      <c r="C1112" s="8"/>
      <c r="D1112" s="6"/>
      <c r="E1112" s="6"/>
      <c r="F1112" s="6"/>
      <c r="G1112" s="6"/>
      <c r="H1112" s="6"/>
    </row>
    <row r="1113" spans="1:8" ht="22.5">
      <c r="A1113" s="4">
        <v>6</v>
      </c>
      <c r="B1113" s="5" t="s">
        <v>24</v>
      </c>
      <c r="C1113" s="8">
        <v>19067.82</v>
      </c>
      <c r="D1113" s="6">
        <v>12895.44</v>
      </c>
      <c r="E1113" s="6">
        <f>'[1]текущий 2017'!$B$1514</f>
        <v>13447.420000000002</v>
      </c>
      <c r="F1113" s="6">
        <f>'[1]текущий 2017'!$C$1515</f>
        <v>25905.2</v>
      </c>
      <c r="G1113" s="6">
        <f>C1113+E1113-F1113</f>
        <v>6610.040000000001</v>
      </c>
      <c r="H1113" s="6">
        <v>-3133.07</v>
      </c>
    </row>
    <row r="1114" spans="1:8" ht="22.5">
      <c r="A1114" s="4">
        <v>7</v>
      </c>
      <c r="B1114" s="5" t="s">
        <v>25</v>
      </c>
      <c r="C1114" s="8">
        <v>58456.84</v>
      </c>
      <c r="D1114" s="6"/>
      <c r="E1114" s="6"/>
      <c r="F1114" s="6"/>
      <c r="G1114" s="6">
        <v>58456.84</v>
      </c>
      <c r="H1114" s="6">
        <v>-499.04</v>
      </c>
    </row>
    <row r="1115" spans="1:8" ht="33.75">
      <c r="A1115" s="24" t="s">
        <v>402</v>
      </c>
      <c r="B1115" s="26" t="s">
        <v>401</v>
      </c>
      <c r="C1115" s="27">
        <v>17566</v>
      </c>
      <c r="D1115" s="6"/>
      <c r="E1115" s="6"/>
      <c r="F1115" s="6"/>
      <c r="G1115" s="6"/>
      <c r="H1115" s="6"/>
    </row>
    <row r="1116" spans="1:8" ht="22.5">
      <c r="A1116" s="4">
        <v>8</v>
      </c>
      <c r="B1116" s="5" t="s">
        <v>26</v>
      </c>
      <c r="C1116" s="5">
        <f aca="true" t="shared" si="29" ref="C1116:H1116">C1117+C1118+C1119+C1120</f>
        <v>0</v>
      </c>
      <c r="D1116" s="5">
        <f t="shared" si="29"/>
        <v>113700.16</v>
      </c>
      <c r="E1116" s="8">
        <f t="shared" si="29"/>
        <v>111660.41</v>
      </c>
      <c r="F1116" s="8">
        <f t="shared" si="29"/>
        <v>112273.05</v>
      </c>
      <c r="G1116" s="5">
        <f t="shared" si="29"/>
        <v>0</v>
      </c>
      <c r="H1116" s="5">
        <f t="shared" si="29"/>
        <v>-34370.5</v>
      </c>
    </row>
    <row r="1117" spans="1:8" ht="12.75">
      <c r="A1117" s="4" t="s">
        <v>368</v>
      </c>
      <c r="B1117" s="5" t="s">
        <v>28</v>
      </c>
      <c r="C1117" s="5"/>
      <c r="D1117" s="4">
        <v>10727.7</v>
      </c>
      <c r="E1117" s="6">
        <v>10115.06</v>
      </c>
      <c r="F1117" s="6">
        <f>D1117</f>
        <v>10727.7</v>
      </c>
      <c r="G1117" s="4"/>
      <c r="H1117" s="4">
        <f>-61.64</f>
        <v>-61.64</v>
      </c>
    </row>
    <row r="1118" spans="1:8" ht="33.75">
      <c r="A1118" s="4" t="s">
        <v>369</v>
      </c>
      <c r="B1118" s="5" t="s">
        <v>30</v>
      </c>
      <c r="C1118" s="5"/>
      <c r="D1118" s="4">
        <v>102972.46</v>
      </c>
      <c r="E1118" s="6">
        <v>101545.35</v>
      </c>
      <c r="F1118" s="6">
        <f>E1118</f>
        <v>101545.35</v>
      </c>
      <c r="G1118" s="4">
        <f>E1118-F1118</f>
        <v>0</v>
      </c>
      <c r="H1118" s="4">
        <f>-19839.41-13042.34-1427.11</f>
        <v>-34308.86</v>
      </c>
    </row>
    <row r="1119" spans="1:8" ht="22.5">
      <c r="A1119" s="4" t="s">
        <v>370</v>
      </c>
      <c r="B1119" s="5" t="s">
        <v>32</v>
      </c>
      <c r="C1119" s="5"/>
      <c r="D1119" s="4"/>
      <c r="E1119" s="6"/>
      <c r="F1119" s="6"/>
      <c r="G1119" s="4"/>
      <c r="H1119" s="4"/>
    </row>
    <row r="1120" spans="1:8" ht="22.5">
      <c r="A1120" s="4" t="s">
        <v>371</v>
      </c>
      <c r="B1120" s="5" t="s">
        <v>34</v>
      </c>
      <c r="C1120" s="5"/>
      <c r="D1120" s="4"/>
      <c r="E1120" s="6"/>
      <c r="F1120" s="6"/>
      <c r="G1120" s="4"/>
      <c r="H1120" s="4"/>
    </row>
    <row r="1121" spans="1:8" ht="56.25">
      <c r="A1121" s="4"/>
      <c r="B1121" s="23" t="s">
        <v>389</v>
      </c>
      <c r="C1121" s="4">
        <v>5400</v>
      </c>
      <c r="D1121" s="4">
        <v>1800</v>
      </c>
      <c r="E1121" s="4">
        <v>1800</v>
      </c>
      <c r="F1121" s="4"/>
      <c r="G1121" s="4">
        <f>C1121+E1121</f>
        <v>7200</v>
      </c>
      <c r="H1121" s="4"/>
    </row>
    <row r="1122" spans="1:8" ht="38.25" customHeight="1">
      <c r="A1122" s="4"/>
      <c r="B1122" s="4"/>
      <c r="C1122" s="4"/>
      <c r="D1122" s="4"/>
      <c r="E1122" s="4"/>
      <c r="F1122" s="4"/>
      <c r="G1122" s="4"/>
      <c r="H1122" s="4"/>
    </row>
    <row r="1123" spans="1:8" ht="99" customHeight="1">
      <c r="A1123" s="29"/>
      <c r="B1123" s="29"/>
      <c r="C1123" s="29"/>
      <c r="D1123" s="29"/>
      <c r="E1123" s="29"/>
      <c r="F1123" s="29"/>
      <c r="G1123" s="29"/>
      <c r="H1123" s="29"/>
    </row>
    <row r="1124" ht="12.75">
      <c r="A1124" t="s">
        <v>0</v>
      </c>
    </row>
    <row r="1125" ht="12.75">
      <c r="A1125" t="s">
        <v>291</v>
      </c>
    </row>
    <row r="1126" ht="12.75">
      <c r="A1126" t="s">
        <v>1</v>
      </c>
    </row>
    <row r="1127" ht="12.75">
      <c r="A1127" t="s">
        <v>416</v>
      </c>
    </row>
    <row r="1129" ht="12.75">
      <c r="A1129" t="s">
        <v>2</v>
      </c>
    </row>
    <row r="1131" ht="12.75">
      <c r="A1131" t="s">
        <v>64</v>
      </c>
    </row>
    <row r="1132" ht="12.75">
      <c r="A1132" t="s">
        <v>138</v>
      </c>
    </row>
    <row r="1133" ht="12.75">
      <c r="A1133" t="s">
        <v>4</v>
      </c>
    </row>
    <row r="1134" ht="12.75">
      <c r="A1134" t="s">
        <v>139</v>
      </c>
    </row>
    <row r="1135" ht="12.75">
      <c r="A1135" t="s">
        <v>5</v>
      </c>
    </row>
    <row r="1137" ht="12.75">
      <c r="A1137" t="s">
        <v>6</v>
      </c>
    </row>
    <row r="1138" ht="12.75">
      <c r="A1138" t="s">
        <v>7</v>
      </c>
    </row>
    <row r="1140" spans="1:8" ht="12.75">
      <c r="A1140" s="4" t="s">
        <v>8</v>
      </c>
      <c r="B1140" s="4" t="s">
        <v>13</v>
      </c>
      <c r="C1140" s="4" t="s">
        <v>9</v>
      </c>
      <c r="D1140" s="4" t="s">
        <v>10</v>
      </c>
      <c r="E1140" s="4" t="s">
        <v>15</v>
      </c>
      <c r="F1140" s="4" t="s">
        <v>16</v>
      </c>
      <c r="G1140" s="4" t="s">
        <v>9</v>
      </c>
      <c r="H1140" s="4" t="s">
        <v>11</v>
      </c>
    </row>
    <row r="1141" spans="1:8" ht="12.75">
      <c r="A1141" s="4"/>
      <c r="B1141" s="4"/>
      <c r="C1141" s="4" t="s">
        <v>417</v>
      </c>
      <c r="D1141" s="4" t="s">
        <v>418</v>
      </c>
      <c r="E1141" s="4" t="s">
        <v>14</v>
      </c>
      <c r="F1141" s="4" t="s">
        <v>17</v>
      </c>
      <c r="G1141" s="4" t="s">
        <v>420</v>
      </c>
      <c r="H1141" s="4" t="s">
        <v>12</v>
      </c>
    </row>
    <row r="1142" spans="1:8" ht="12.75">
      <c r="A1142" s="4"/>
      <c r="B1142" s="4"/>
      <c r="C1142" s="4"/>
      <c r="D1142" s="4"/>
      <c r="E1142" s="4" t="s">
        <v>419</v>
      </c>
      <c r="F1142" s="4" t="s">
        <v>419</v>
      </c>
      <c r="G1142" s="4"/>
      <c r="H1142" s="4" t="s">
        <v>421</v>
      </c>
    </row>
    <row r="1143" spans="1:8" ht="12.75">
      <c r="A1143" s="4"/>
      <c r="B1143" s="4"/>
      <c r="C1143" s="4"/>
      <c r="D1143" s="4"/>
      <c r="E1143" s="4"/>
      <c r="F1143" s="4"/>
      <c r="G1143" s="4"/>
      <c r="H1143" s="4"/>
    </row>
    <row r="1144" spans="1:8" ht="22.5">
      <c r="A1144" s="4">
        <v>1</v>
      </c>
      <c r="B1144" s="5" t="s">
        <v>18</v>
      </c>
      <c r="C1144" s="6"/>
      <c r="D1144" s="6">
        <v>33981.72</v>
      </c>
      <c r="E1144" s="6">
        <v>30981</v>
      </c>
      <c r="F1144" s="6">
        <f>D1144</f>
        <v>33981.72</v>
      </c>
      <c r="G1144" s="6"/>
      <c r="H1144" s="6">
        <f>-12041.65+1546-3000.72</f>
        <v>-13496.369999999999</v>
      </c>
    </row>
    <row r="1145" spans="1:8" ht="12.75">
      <c r="A1145" s="4">
        <v>3</v>
      </c>
      <c r="B1145" s="5" t="s">
        <v>21</v>
      </c>
      <c r="C1145" s="8"/>
      <c r="D1145" s="6"/>
      <c r="E1145" s="6"/>
      <c r="F1145" s="6"/>
      <c r="G1145" s="6"/>
      <c r="H1145" s="6"/>
    </row>
    <row r="1146" spans="1:8" ht="12.75">
      <c r="A1146" s="4">
        <v>4</v>
      </c>
      <c r="B1146" s="5" t="s">
        <v>22</v>
      </c>
      <c r="C1146" s="8"/>
      <c r="D1146" s="6">
        <v>16016.34</v>
      </c>
      <c r="E1146" s="6">
        <v>14301.36</v>
      </c>
      <c r="F1146" s="6">
        <f>D1146</f>
        <v>16016.34</v>
      </c>
      <c r="G1146" s="6"/>
      <c r="H1146" s="6">
        <f>-4931.13+956-1714.98</f>
        <v>-5690.110000000001</v>
      </c>
    </row>
    <row r="1147" spans="1:8" ht="22.5">
      <c r="A1147" s="4">
        <v>5</v>
      </c>
      <c r="B1147" s="5" t="s">
        <v>23</v>
      </c>
      <c r="C1147" s="8"/>
      <c r="D1147" s="6"/>
      <c r="E1147" s="6"/>
      <c r="F1147" s="6"/>
      <c r="G1147" s="6"/>
      <c r="H1147" s="6"/>
    </row>
    <row r="1148" spans="1:8" ht="22.5">
      <c r="A1148" s="4">
        <v>6</v>
      </c>
      <c r="B1148" s="5" t="s">
        <v>24</v>
      </c>
      <c r="C1148" s="8">
        <v>18747.94</v>
      </c>
      <c r="D1148" s="6">
        <v>7002.6</v>
      </c>
      <c r="E1148" s="6">
        <f>'[1]текущий 2017'!$B$1565</f>
        <v>8130.980000000001</v>
      </c>
      <c r="F1148" s="6"/>
      <c r="G1148" s="6">
        <f>C1148+E1148-F1148</f>
        <v>26878.92</v>
      </c>
      <c r="H1148" s="6">
        <v>-8874.49</v>
      </c>
    </row>
    <row r="1149" spans="1:8" ht="22.5">
      <c r="A1149" s="4">
        <v>7</v>
      </c>
      <c r="B1149" s="5" t="s">
        <v>25</v>
      </c>
      <c r="C1149" s="8">
        <v>40184.43</v>
      </c>
      <c r="D1149" s="6"/>
      <c r="E1149" s="6"/>
      <c r="F1149" s="6">
        <v>40184.43</v>
      </c>
      <c r="G1149" s="6">
        <f>C1149+E1149-F1149</f>
        <v>0</v>
      </c>
      <c r="H1149" s="6">
        <v>-548.07</v>
      </c>
    </row>
    <row r="1150" spans="1:8" ht="33.75">
      <c r="A1150" s="24" t="s">
        <v>402</v>
      </c>
      <c r="B1150" s="26" t="s">
        <v>401</v>
      </c>
      <c r="C1150" s="27">
        <v>13418</v>
      </c>
      <c r="D1150" s="6"/>
      <c r="E1150" s="6"/>
      <c r="F1150" s="6"/>
      <c r="G1150" s="6"/>
      <c r="H1150" s="6"/>
    </row>
    <row r="1151" spans="1:8" ht="22.5">
      <c r="A1151" s="4">
        <v>8</v>
      </c>
      <c r="B1151" s="5" t="s">
        <v>26</v>
      </c>
      <c r="C1151" s="5">
        <f aca="true" t="shared" si="30" ref="C1151:H1151">C1152+C1153+C1154+C1155</f>
        <v>0</v>
      </c>
      <c r="D1151" s="5">
        <f t="shared" si="30"/>
        <v>65264.32</v>
      </c>
      <c r="E1151" s="8">
        <f t="shared" si="30"/>
        <v>62133.84</v>
      </c>
      <c r="F1151" s="8">
        <f t="shared" si="30"/>
        <v>62413.88</v>
      </c>
      <c r="G1151" s="5">
        <f t="shared" si="30"/>
        <v>0</v>
      </c>
      <c r="H1151" s="5">
        <f t="shared" si="30"/>
        <v>-9645.850000000002</v>
      </c>
    </row>
    <row r="1152" spans="1:8" ht="12.75">
      <c r="A1152" s="4" t="s">
        <v>368</v>
      </c>
      <c r="B1152" s="5" t="s">
        <v>28</v>
      </c>
      <c r="C1152" s="5"/>
      <c r="D1152" s="4">
        <v>5314.85</v>
      </c>
      <c r="E1152" s="6">
        <v>5034.81</v>
      </c>
      <c r="F1152" s="6">
        <f>D1152</f>
        <v>5314.85</v>
      </c>
      <c r="G1152" s="4"/>
      <c r="H1152" s="4">
        <f>-280.04</f>
        <v>-280.04</v>
      </c>
    </row>
    <row r="1153" spans="1:8" ht="33.75">
      <c r="A1153" s="4" t="s">
        <v>29</v>
      </c>
      <c r="B1153" s="5" t="s">
        <v>30</v>
      </c>
      <c r="C1153" s="5"/>
      <c r="D1153" s="4">
        <v>59949.47</v>
      </c>
      <c r="E1153" s="6">
        <v>57099.03</v>
      </c>
      <c r="F1153" s="6">
        <f>E1153</f>
        <v>57099.03</v>
      </c>
      <c r="G1153" s="4">
        <f>E1153-F1153</f>
        <v>0</v>
      </c>
      <c r="H1153" s="4">
        <f>-8304.37+1789-2850.44</f>
        <v>-9365.810000000001</v>
      </c>
    </row>
    <row r="1154" spans="1:8" ht="22.5">
      <c r="A1154" s="4" t="s">
        <v>31</v>
      </c>
      <c r="B1154" s="5" t="s">
        <v>32</v>
      </c>
      <c r="C1154" s="5"/>
      <c r="D1154" s="4"/>
      <c r="E1154" s="6"/>
      <c r="F1154" s="6"/>
      <c r="G1154" s="4"/>
      <c r="H1154" s="4"/>
    </row>
    <row r="1155" spans="1:8" ht="22.5">
      <c r="A1155" s="4" t="s">
        <v>33</v>
      </c>
      <c r="B1155" s="5" t="s">
        <v>34</v>
      </c>
      <c r="C1155" s="5"/>
      <c r="D1155" s="4"/>
      <c r="E1155" s="6"/>
      <c r="F1155" s="6"/>
      <c r="G1155" s="4"/>
      <c r="H1155" s="4"/>
    </row>
    <row r="1156" spans="1:8" ht="12.75">
      <c r="A1156" s="4"/>
      <c r="B1156" s="4"/>
      <c r="C1156" s="4"/>
      <c r="D1156" s="4"/>
      <c r="E1156" s="4"/>
      <c r="F1156" s="4"/>
      <c r="G1156" s="4"/>
      <c r="H1156" s="4"/>
    </row>
    <row r="1157" spans="1:8" ht="12.75">
      <c r="A1157" s="4"/>
      <c r="B1157" s="4"/>
      <c r="C1157" s="4"/>
      <c r="D1157" s="4"/>
      <c r="E1157" s="4"/>
      <c r="F1157" s="4"/>
      <c r="G1157" s="4"/>
      <c r="H1157" s="4"/>
    </row>
    <row r="1161" ht="135" customHeight="1"/>
    <row r="1162" ht="12.75">
      <c r="A1162" t="s">
        <v>0</v>
      </c>
    </row>
    <row r="1163" ht="12.75">
      <c r="A1163" t="s">
        <v>291</v>
      </c>
    </row>
    <row r="1164" ht="12.75">
      <c r="A1164" t="s">
        <v>1</v>
      </c>
    </row>
    <row r="1165" ht="12.75">
      <c r="A1165" t="s">
        <v>416</v>
      </c>
    </row>
    <row r="1167" ht="12.75">
      <c r="A1167" t="s">
        <v>2</v>
      </c>
    </row>
    <row r="1169" ht="12.75">
      <c r="A1169" t="s">
        <v>65</v>
      </c>
    </row>
    <row r="1170" ht="12.75">
      <c r="A1170" t="s">
        <v>140</v>
      </c>
    </row>
    <row r="1171" ht="12.75">
      <c r="A1171" t="s">
        <v>4</v>
      </c>
    </row>
    <row r="1172" ht="12.75">
      <c r="A1172" t="s">
        <v>141</v>
      </c>
    </row>
    <row r="1173" ht="12.75">
      <c r="A1173" t="s">
        <v>5</v>
      </c>
    </row>
    <row r="1175" ht="12.75">
      <c r="A1175" t="s">
        <v>6</v>
      </c>
    </row>
    <row r="1176" ht="12.75">
      <c r="A1176" t="s">
        <v>7</v>
      </c>
    </row>
    <row r="1178" spans="1:8" ht="12.75">
      <c r="A1178" s="4" t="s">
        <v>8</v>
      </c>
      <c r="B1178" s="4" t="s">
        <v>13</v>
      </c>
      <c r="C1178" s="4" t="s">
        <v>9</v>
      </c>
      <c r="D1178" s="4" t="s">
        <v>10</v>
      </c>
      <c r="E1178" s="4" t="s">
        <v>15</v>
      </c>
      <c r="F1178" s="4" t="s">
        <v>16</v>
      </c>
      <c r="G1178" s="4" t="s">
        <v>9</v>
      </c>
      <c r="H1178" s="4" t="s">
        <v>11</v>
      </c>
    </row>
    <row r="1179" spans="1:8" ht="12.75">
      <c r="A1179" s="4"/>
      <c r="B1179" s="4"/>
      <c r="C1179" s="4" t="s">
        <v>417</v>
      </c>
      <c r="D1179" s="4" t="s">
        <v>418</v>
      </c>
      <c r="E1179" s="4" t="s">
        <v>14</v>
      </c>
      <c r="F1179" s="4" t="s">
        <v>17</v>
      </c>
      <c r="G1179" s="4" t="s">
        <v>420</v>
      </c>
      <c r="H1179" s="4" t="s">
        <v>12</v>
      </c>
    </row>
    <row r="1180" spans="1:8" ht="12.75">
      <c r="A1180" s="4"/>
      <c r="B1180" s="4"/>
      <c r="C1180" s="4"/>
      <c r="D1180" s="4"/>
      <c r="E1180" s="4" t="s">
        <v>419</v>
      </c>
      <c r="F1180" s="4" t="s">
        <v>419</v>
      </c>
      <c r="G1180" s="4"/>
      <c r="H1180" s="4" t="s">
        <v>421</v>
      </c>
    </row>
    <row r="1181" spans="1:8" ht="12.75">
      <c r="A1181" s="4"/>
      <c r="B1181" s="4"/>
      <c r="C1181" s="4"/>
      <c r="D1181" s="4"/>
      <c r="E1181" s="4"/>
      <c r="F1181" s="4"/>
      <c r="G1181" s="4"/>
      <c r="H1181" s="4"/>
    </row>
    <row r="1182" spans="1:8" ht="22.5">
      <c r="A1182" s="4">
        <v>1</v>
      </c>
      <c r="B1182" s="5" t="s">
        <v>18</v>
      </c>
      <c r="C1182" s="6"/>
      <c r="D1182" s="6">
        <v>29376.28</v>
      </c>
      <c r="E1182" s="6">
        <v>22097.79</v>
      </c>
      <c r="F1182" s="6">
        <f>D1182</f>
        <v>29376.28</v>
      </c>
      <c r="G1182" s="6"/>
      <c r="H1182" s="6">
        <f>-21382.91-2442-7278.49</f>
        <v>-31103.4</v>
      </c>
    </row>
    <row r="1183" spans="1:8" ht="12.75">
      <c r="A1183" s="4">
        <v>3</v>
      </c>
      <c r="B1183" s="5" t="s">
        <v>21</v>
      </c>
      <c r="C1183" s="8"/>
      <c r="D1183" s="6"/>
      <c r="E1183" s="6"/>
      <c r="F1183" s="6"/>
      <c r="G1183" s="6"/>
      <c r="H1183" s="6"/>
    </row>
    <row r="1184" spans="1:8" ht="12.75">
      <c r="A1184" s="4">
        <v>4</v>
      </c>
      <c r="B1184" s="5" t="s">
        <v>22</v>
      </c>
      <c r="C1184" s="8"/>
      <c r="D1184" s="6">
        <v>13827.03</v>
      </c>
      <c r="E1184" s="6">
        <v>10119.28</v>
      </c>
      <c r="F1184" s="6">
        <f>D1184</f>
        <v>13827.03</v>
      </c>
      <c r="G1184" s="6"/>
      <c r="H1184" s="6">
        <f>-8518.71-997-3707.75</f>
        <v>-13223.46</v>
      </c>
    </row>
    <row r="1185" spans="1:8" ht="22.5">
      <c r="A1185" s="4">
        <v>5</v>
      </c>
      <c r="B1185" s="5" t="s">
        <v>23</v>
      </c>
      <c r="C1185" s="8"/>
      <c r="D1185" s="6"/>
      <c r="E1185" s="6"/>
      <c r="F1185" s="6"/>
      <c r="G1185" s="6"/>
      <c r="H1185" s="6"/>
    </row>
    <row r="1186" spans="1:8" ht="22.5">
      <c r="A1186" s="4">
        <v>6</v>
      </c>
      <c r="B1186" s="5" t="s">
        <v>24</v>
      </c>
      <c r="C1186" s="8">
        <v>24260.5</v>
      </c>
      <c r="D1186" s="6">
        <v>6045.48</v>
      </c>
      <c r="E1186" s="6">
        <f>'[1]текущий 2017'!$B$1616</f>
        <v>15507.11</v>
      </c>
      <c r="F1186" s="6">
        <f>'[1]текущий 2017'!$C$1617</f>
        <v>44681.58</v>
      </c>
      <c r="G1186" s="6">
        <f>C1186+E1186-F1186</f>
        <v>-4913.970000000001</v>
      </c>
      <c r="H1186" s="6">
        <v>-5877.11</v>
      </c>
    </row>
    <row r="1187" spans="1:8" ht="22.5">
      <c r="A1187" s="4">
        <v>7</v>
      </c>
      <c r="B1187" s="5" t="s">
        <v>25</v>
      </c>
      <c r="C1187" s="8">
        <v>10854.17</v>
      </c>
      <c r="D1187" s="6"/>
      <c r="E1187" s="6"/>
      <c r="F1187" s="6">
        <v>10854.17</v>
      </c>
      <c r="G1187" s="6">
        <f>C1187+E1187-F1187</f>
        <v>0</v>
      </c>
      <c r="H1187" s="6">
        <v>-26.33</v>
      </c>
    </row>
    <row r="1188" spans="1:8" ht="22.5">
      <c r="A1188" s="4">
        <v>8</v>
      </c>
      <c r="B1188" s="5" t="s">
        <v>26</v>
      </c>
      <c r="C1188" s="5">
        <f aca="true" t="shared" si="31" ref="C1188:H1188">C1189+C1190+C1191+C1192</f>
        <v>0</v>
      </c>
      <c r="D1188" s="5">
        <f t="shared" si="31"/>
        <v>55535.049999999996</v>
      </c>
      <c r="E1188" s="8">
        <f t="shared" si="31"/>
        <v>36131.69</v>
      </c>
      <c r="F1188" s="8">
        <f t="shared" si="31"/>
        <v>37466.64</v>
      </c>
      <c r="G1188" s="5">
        <f t="shared" si="31"/>
        <v>0</v>
      </c>
      <c r="H1188" s="5">
        <f t="shared" si="31"/>
        <v>-75670.36</v>
      </c>
    </row>
    <row r="1189" spans="1:8" ht="12.75">
      <c r="A1189" s="4" t="s">
        <v>368</v>
      </c>
      <c r="B1189" s="5" t="s">
        <v>28</v>
      </c>
      <c r="C1189" s="5"/>
      <c r="D1189" s="4">
        <v>4456.2</v>
      </c>
      <c r="E1189" s="6">
        <v>3121.25</v>
      </c>
      <c r="F1189" s="6">
        <f>D1189</f>
        <v>4456.2</v>
      </c>
      <c r="G1189" s="4"/>
      <c r="H1189" s="4">
        <f>-1334.95</f>
        <v>-1334.95</v>
      </c>
    </row>
    <row r="1190" spans="1:8" ht="33.75">
      <c r="A1190" s="4" t="s">
        <v>369</v>
      </c>
      <c r="B1190" s="5" t="s">
        <v>30</v>
      </c>
      <c r="C1190" s="5"/>
      <c r="D1190" s="4">
        <v>51078.85</v>
      </c>
      <c r="E1190" s="6">
        <v>33010.44</v>
      </c>
      <c r="F1190" s="6">
        <f>E1190</f>
        <v>33010.44</v>
      </c>
      <c r="G1190" s="4">
        <f>E1190-F1190</f>
        <v>0</v>
      </c>
      <c r="H1190" s="4">
        <f>-42267-14000-18068.41</f>
        <v>-74335.41</v>
      </c>
    </row>
    <row r="1191" spans="1:8" ht="22.5">
      <c r="A1191" s="4" t="s">
        <v>370</v>
      </c>
      <c r="B1191" s="5" t="s">
        <v>32</v>
      </c>
      <c r="C1191" s="5"/>
      <c r="D1191" s="4"/>
      <c r="E1191" s="6"/>
      <c r="F1191" s="6"/>
      <c r="G1191" s="4"/>
      <c r="H1191" s="4"/>
    </row>
    <row r="1192" spans="1:8" ht="22.5">
      <c r="A1192" s="4" t="s">
        <v>371</v>
      </c>
      <c r="B1192" s="5" t="s">
        <v>34</v>
      </c>
      <c r="C1192" s="5"/>
      <c r="D1192" s="4"/>
      <c r="E1192" s="6"/>
      <c r="F1192" s="6"/>
      <c r="G1192" s="4"/>
      <c r="H1192" s="4"/>
    </row>
    <row r="1193" spans="1:8" ht="12.75">
      <c r="A1193" s="4"/>
      <c r="B1193" s="4"/>
      <c r="C1193" s="4"/>
      <c r="D1193" s="4"/>
      <c r="E1193" s="4"/>
      <c r="F1193" s="4"/>
      <c r="G1193" s="4"/>
      <c r="H1193" s="4"/>
    </row>
    <row r="1194" spans="1:8" ht="12.75">
      <c r="A1194" s="4"/>
      <c r="B1194" s="4"/>
      <c r="C1194" s="4"/>
      <c r="D1194" s="4"/>
      <c r="E1194" s="4"/>
      <c r="F1194" s="4"/>
      <c r="G1194" s="4"/>
      <c r="H1194" s="4"/>
    </row>
    <row r="1200" ht="140.25" customHeight="1"/>
    <row r="1201" ht="12.75">
      <c r="A1201" t="s">
        <v>0</v>
      </c>
    </row>
    <row r="1202" ht="12.75">
      <c r="A1202" t="s">
        <v>291</v>
      </c>
    </row>
    <row r="1203" ht="12.75">
      <c r="A1203" t="s">
        <v>1</v>
      </c>
    </row>
    <row r="1204" ht="12.75">
      <c r="A1204" t="s">
        <v>416</v>
      </c>
    </row>
    <row r="1206" ht="12.75">
      <c r="A1206" t="s">
        <v>2</v>
      </c>
    </row>
    <row r="1208" ht="12.75">
      <c r="A1208" t="s">
        <v>66</v>
      </c>
    </row>
    <row r="1209" ht="12.75">
      <c r="A1209" t="s">
        <v>142</v>
      </c>
    </row>
    <row r="1210" ht="12.75">
      <c r="A1210" t="s">
        <v>4</v>
      </c>
    </row>
    <row r="1211" ht="12.75">
      <c r="A1211" t="s">
        <v>143</v>
      </c>
    </row>
    <row r="1212" ht="12.75">
      <c r="A1212" t="s">
        <v>5</v>
      </c>
    </row>
    <row r="1214" ht="12.75">
      <c r="A1214" t="s">
        <v>6</v>
      </c>
    </row>
    <row r="1215" ht="12.75">
      <c r="A1215" t="s">
        <v>7</v>
      </c>
    </row>
    <row r="1217" spans="1:8" ht="12.75">
      <c r="A1217" s="4" t="s">
        <v>8</v>
      </c>
      <c r="B1217" s="4" t="s">
        <v>13</v>
      </c>
      <c r="C1217" s="4" t="s">
        <v>9</v>
      </c>
      <c r="D1217" s="4" t="s">
        <v>10</v>
      </c>
      <c r="E1217" s="4" t="s">
        <v>15</v>
      </c>
      <c r="F1217" s="4" t="s">
        <v>16</v>
      </c>
      <c r="G1217" s="4" t="s">
        <v>9</v>
      </c>
      <c r="H1217" s="4" t="s">
        <v>11</v>
      </c>
    </row>
    <row r="1218" spans="1:8" ht="12.75">
      <c r="A1218" s="4"/>
      <c r="B1218" s="4"/>
      <c r="C1218" s="4" t="s">
        <v>417</v>
      </c>
      <c r="D1218" s="4" t="s">
        <v>418</v>
      </c>
      <c r="E1218" s="4" t="s">
        <v>14</v>
      </c>
      <c r="F1218" s="4" t="s">
        <v>17</v>
      </c>
      <c r="G1218" s="4" t="s">
        <v>420</v>
      </c>
      <c r="H1218" s="4" t="s">
        <v>12</v>
      </c>
    </row>
    <row r="1219" spans="1:8" ht="12.75">
      <c r="A1219" s="4"/>
      <c r="B1219" s="4"/>
      <c r="C1219" s="4"/>
      <c r="D1219" s="4"/>
      <c r="E1219" s="4" t="s">
        <v>419</v>
      </c>
      <c r="F1219" s="4" t="s">
        <v>419</v>
      </c>
      <c r="G1219" s="4"/>
      <c r="H1219" s="4" t="s">
        <v>421</v>
      </c>
    </row>
    <row r="1220" spans="1:8" ht="12.75">
      <c r="A1220" s="4"/>
      <c r="B1220" s="4"/>
      <c r="C1220" s="4"/>
      <c r="D1220" s="4"/>
      <c r="E1220" s="4"/>
      <c r="F1220" s="4"/>
      <c r="G1220" s="4"/>
      <c r="H1220" s="4"/>
    </row>
    <row r="1221" spans="1:8" ht="22.5">
      <c r="A1221" s="4">
        <v>1</v>
      </c>
      <c r="B1221" s="5" t="s">
        <v>18</v>
      </c>
      <c r="C1221" s="6"/>
      <c r="D1221" s="6">
        <v>30040.09</v>
      </c>
      <c r="E1221" s="6">
        <v>28025.36</v>
      </c>
      <c r="F1221" s="6">
        <f>D1221</f>
        <v>30040.09</v>
      </c>
      <c r="G1221" s="6"/>
      <c r="H1221" s="6">
        <f>-12587.17-1715-2014.73</f>
        <v>-16316.9</v>
      </c>
    </row>
    <row r="1222" spans="1:8" ht="12.75">
      <c r="A1222" s="4">
        <v>3</v>
      </c>
      <c r="B1222" s="5" t="s">
        <v>21</v>
      </c>
      <c r="C1222" s="8"/>
      <c r="D1222" s="6"/>
      <c r="E1222" s="6"/>
      <c r="F1222" s="6"/>
      <c r="G1222" s="6"/>
      <c r="H1222" s="6"/>
    </row>
    <row r="1223" spans="1:8" ht="12.75">
      <c r="A1223" s="4">
        <v>4</v>
      </c>
      <c r="B1223" s="5" t="s">
        <v>22</v>
      </c>
      <c r="C1223" s="8"/>
      <c r="D1223" s="6">
        <v>14160.24</v>
      </c>
      <c r="E1223" s="6">
        <v>13530.57</v>
      </c>
      <c r="F1223" s="6">
        <f>D1223</f>
        <v>14160.24</v>
      </c>
      <c r="G1223" s="6"/>
      <c r="H1223" s="6">
        <f>-5048.26-550-626.67</f>
        <v>-6224.93</v>
      </c>
    </row>
    <row r="1224" spans="1:8" ht="22.5">
      <c r="A1224" s="4">
        <v>5</v>
      </c>
      <c r="B1224" s="5" t="s">
        <v>23</v>
      </c>
      <c r="C1224" s="8"/>
      <c r="D1224" s="6"/>
      <c r="E1224" s="6"/>
      <c r="F1224" s="6"/>
      <c r="G1224" s="6"/>
      <c r="H1224" s="6"/>
    </row>
    <row r="1225" spans="1:8" ht="22.5">
      <c r="A1225" s="4">
        <v>6</v>
      </c>
      <c r="B1225" s="5" t="s">
        <v>24</v>
      </c>
      <c r="C1225" s="8">
        <v>7441.06</v>
      </c>
      <c r="D1225" s="6">
        <v>6191.28</v>
      </c>
      <c r="E1225" s="6">
        <f>'[1]текущий 2017'!$B$1667</f>
        <v>7388.83</v>
      </c>
      <c r="F1225" s="6">
        <f>'[1]текущий 2017'!$C$1671</f>
        <v>0</v>
      </c>
      <c r="G1225" s="6">
        <f>C1225+E1225-F1225</f>
        <v>14829.89</v>
      </c>
      <c r="H1225" s="6">
        <v>-2921.97</v>
      </c>
    </row>
    <row r="1226" spans="1:8" ht="22.5">
      <c r="A1226" s="4">
        <v>7</v>
      </c>
      <c r="B1226" s="5" t="s">
        <v>25</v>
      </c>
      <c r="C1226" s="8">
        <v>14565.84</v>
      </c>
      <c r="D1226" s="6"/>
      <c r="E1226" s="6"/>
      <c r="F1226" s="6"/>
      <c r="G1226" s="6">
        <f>C1226+E1226</f>
        <v>14565.84</v>
      </c>
      <c r="H1226" s="6">
        <v>-345.91</v>
      </c>
    </row>
    <row r="1227" spans="1:8" ht="22.5">
      <c r="A1227" s="4">
        <v>8</v>
      </c>
      <c r="B1227" s="5" t="s">
        <v>26</v>
      </c>
      <c r="C1227" s="5">
        <f aca="true" t="shared" si="32" ref="C1227:H1227">C1228+C1229+C1230+C1231</f>
        <v>0</v>
      </c>
      <c r="D1227" s="5">
        <f t="shared" si="32"/>
        <v>60316.9</v>
      </c>
      <c r="E1227" s="8">
        <f t="shared" si="32"/>
        <v>58625.33</v>
      </c>
      <c r="F1227" s="8">
        <f t="shared" si="32"/>
        <v>58701.61</v>
      </c>
      <c r="G1227" s="5">
        <f t="shared" si="32"/>
        <v>0</v>
      </c>
      <c r="H1227" s="5">
        <f t="shared" si="32"/>
        <v>-16314.33</v>
      </c>
    </row>
    <row r="1228" spans="1:8" ht="12.75">
      <c r="A1228" s="4">
        <v>8.1</v>
      </c>
      <c r="B1228" s="5" t="s">
        <v>28</v>
      </c>
      <c r="C1228" s="5"/>
      <c r="D1228" s="4">
        <v>3736.18</v>
      </c>
      <c r="E1228" s="6">
        <v>3659.9</v>
      </c>
      <c r="F1228" s="6">
        <f>D1228</f>
        <v>3736.18</v>
      </c>
      <c r="G1228" s="4"/>
      <c r="H1228" s="4">
        <f>-76.28</f>
        <v>-76.28</v>
      </c>
    </row>
    <row r="1229" spans="1:8" ht="33.75">
      <c r="A1229" s="4">
        <v>8.2</v>
      </c>
      <c r="B1229" s="5" t="s">
        <v>30</v>
      </c>
      <c r="C1229" s="5"/>
      <c r="D1229" s="4">
        <v>56580.72</v>
      </c>
      <c r="E1229" s="6">
        <v>54965.43</v>
      </c>
      <c r="F1229" s="6">
        <f>E1229</f>
        <v>54965.43</v>
      </c>
      <c r="G1229" s="4">
        <f>E1229-F1229</f>
        <v>0</v>
      </c>
      <c r="H1229" s="4">
        <f>-15878.76+1256-1615.29</f>
        <v>-16238.05</v>
      </c>
    </row>
    <row r="1230" spans="1:8" ht="22.5">
      <c r="A1230" s="4">
        <v>8.3</v>
      </c>
      <c r="B1230" s="5" t="s">
        <v>32</v>
      </c>
      <c r="C1230" s="5"/>
      <c r="D1230" s="4"/>
      <c r="E1230" s="6"/>
      <c r="F1230" s="6"/>
      <c r="G1230" s="4"/>
      <c r="H1230" s="4"/>
    </row>
    <row r="1231" spans="1:8" ht="22.5">
      <c r="A1231" s="4">
        <v>8.4</v>
      </c>
      <c r="B1231" s="5" t="s">
        <v>34</v>
      </c>
      <c r="C1231" s="5"/>
      <c r="D1231" s="4"/>
      <c r="E1231" s="6"/>
      <c r="F1231" s="6"/>
      <c r="G1231" s="4"/>
      <c r="H1231" s="4"/>
    </row>
    <row r="1232" spans="1:8" ht="12.75">
      <c r="A1232" s="4"/>
      <c r="B1232" s="4"/>
      <c r="C1232" s="4"/>
      <c r="D1232" s="4"/>
      <c r="E1232" s="4"/>
      <c r="F1232" s="4"/>
      <c r="G1232" s="4"/>
      <c r="H1232" s="4"/>
    </row>
    <row r="1233" spans="1:8" ht="12.75">
      <c r="A1233" s="4"/>
      <c r="B1233" s="4"/>
      <c r="C1233" s="4"/>
      <c r="D1233" s="4"/>
      <c r="E1233" s="4"/>
      <c r="F1233" s="4"/>
      <c r="G1233" s="4"/>
      <c r="H1233" s="4"/>
    </row>
    <row r="1239" ht="141" customHeight="1"/>
    <row r="1240" ht="12.75">
      <c r="A1240" t="s">
        <v>0</v>
      </c>
    </row>
    <row r="1241" ht="12.75">
      <c r="A1241" t="s">
        <v>291</v>
      </c>
    </row>
    <row r="1242" ht="12.75">
      <c r="A1242" t="s">
        <v>1</v>
      </c>
    </row>
    <row r="1243" ht="12.75">
      <c r="A1243" t="s">
        <v>416</v>
      </c>
    </row>
    <row r="1245" ht="12.75">
      <c r="A1245" t="s">
        <v>2</v>
      </c>
    </row>
    <row r="1247" ht="12.75">
      <c r="A1247" t="s">
        <v>67</v>
      </c>
    </row>
    <row r="1248" ht="12.75">
      <c r="A1248" t="s">
        <v>144</v>
      </c>
    </row>
    <row r="1249" ht="12.75">
      <c r="A1249" t="s">
        <v>4</v>
      </c>
    </row>
    <row r="1250" ht="12.75">
      <c r="A1250" t="s">
        <v>145</v>
      </c>
    </row>
    <row r="1251" ht="12.75">
      <c r="A1251" t="s">
        <v>5</v>
      </c>
    </row>
    <row r="1253" ht="12.75">
      <c r="A1253" t="s">
        <v>6</v>
      </c>
    </row>
    <row r="1254" ht="12.75">
      <c r="A1254" t="s">
        <v>7</v>
      </c>
    </row>
    <row r="1256" spans="1:8" ht="12.75">
      <c r="A1256" s="4" t="s">
        <v>8</v>
      </c>
      <c r="B1256" s="4" t="s">
        <v>13</v>
      </c>
      <c r="C1256" s="4" t="s">
        <v>9</v>
      </c>
      <c r="D1256" s="4" t="s">
        <v>10</v>
      </c>
      <c r="E1256" s="4" t="s">
        <v>15</v>
      </c>
      <c r="F1256" s="4" t="s">
        <v>16</v>
      </c>
      <c r="G1256" s="4" t="s">
        <v>9</v>
      </c>
      <c r="H1256" s="4" t="s">
        <v>11</v>
      </c>
    </row>
    <row r="1257" spans="1:8" ht="12.75">
      <c r="A1257" s="4"/>
      <c r="B1257" s="4"/>
      <c r="C1257" s="4" t="s">
        <v>417</v>
      </c>
      <c r="D1257" s="4" t="s">
        <v>418</v>
      </c>
      <c r="E1257" s="4" t="s">
        <v>14</v>
      </c>
      <c r="F1257" s="4" t="s">
        <v>17</v>
      </c>
      <c r="G1257" s="4" t="s">
        <v>420</v>
      </c>
      <c r="H1257" s="4" t="s">
        <v>12</v>
      </c>
    </row>
    <row r="1258" spans="1:8" ht="12.75">
      <c r="A1258" s="4"/>
      <c r="B1258" s="4"/>
      <c r="C1258" s="4"/>
      <c r="D1258" s="4"/>
      <c r="E1258" s="4" t="s">
        <v>419</v>
      </c>
      <c r="F1258" s="4" t="s">
        <v>419</v>
      </c>
      <c r="G1258" s="4"/>
      <c r="H1258" s="4" t="s">
        <v>421</v>
      </c>
    </row>
    <row r="1259" spans="1:8" ht="12.75">
      <c r="A1259" s="4"/>
      <c r="B1259" s="4"/>
      <c r="C1259" s="4"/>
      <c r="D1259" s="4"/>
      <c r="E1259" s="4"/>
      <c r="F1259" s="4"/>
      <c r="G1259" s="4"/>
      <c r="H1259" s="4"/>
    </row>
    <row r="1260" spans="1:8" ht="22.5">
      <c r="A1260" s="4">
        <v>1</v>
      </c>
      <c r="B1260" s="5" t="s">
        <v>18</v>
      </c>
      <c r="C1260" s="6"/>
      <c r="D1260" s="6">
        <v>31074.01</v>
      </c>
      <c r="E1260" s="6">
        <v>29676.61</v>
      </c>
      <c r="F1260" s="6">
        <f>D1260</f>
        <v>31074.01</v>
      </c>
      <c r="G1260" s="6"/>
      <c r="H1260" s="6">
        <f>-1254-1397.4</f>
        <v>-2651.4</v>
      </c>
    </row>
    <row r="1261" spans="1:8" ht="12.75">
      <c r="A1261" s="4">
        <v>3</v>
      </c>
      <c r="B1261" s="5" t="s">
        <v>21</v>
      </c>
      <c r="C1261" s="8"/>
      <c r="D1261" s="6"/>
      <c r="E1261" s="6"/>
      <c r="F1261" s="6"/>
      <c r="G1261" s="6"/>
      <c r="H1261" s="6"/>
    </row>
    <row r="1262" spans="1:8" ht="12.75">
      <c r="A1262" s="4">
        <v>4</v>
      </c>
      <c r="B1262" s="5" t="s">
        <v>22</v>
      </c>
      <c r="C1262" s="8"/>
      <c r="D1262" s="6">
        <v>14160.24</v>
      </c>
      <c r="E1262" s="6">
        <v>13533.57</v>
      </c>
      <c r="F1262" s="6">
        <f>D1262</f>
        <v>14160.24</v>
      </c>
      <c r="G1262" s="6"/>
      <c r="H1262" s="6">
        <f>-2011.27+600-626.67</f>
        <v>-2037.94</v>
      </c>
    </row>
    <row r="1263" spans="1:8" ht="22.5">
      <c r="A1263" s="4">
        <v>5</v>
      </c>
      <c r="B1263" s="5" t="s">
        <v>23</v>
      </c>
      <c r="C1263" s="8"/>
      <c r="D1263" s="6"/>
      <c r="E1263" s="6"/>
      <c r="F1263" s="6"/>
      <c r="G1263" s="6"/>
      <c r="H1263" s="6"/>
    </row>
    <row r="1264" spans="1:8" ht="22.5">
      <c r="A1264" s="4">
        <v>6</v>
      </c>
      <c r="B1264" s="5" t="s">
        <v>24</v>
      </c>
      <c r="C1264" s="8">
        <v>3403.49</v>
      </c>
      <c r="D1264" s="6">
        <v>6406.08</v>
      </c>
      <c r="E1264" s="6">
        <f>'[1]текущий 2017'!$B$1718</f>
        <v>6225.35</v>
      </c>
      <c r="F1264" s="6">
        <f>'[1]текущий 2017'!$C$1719</f>
        <v>16167.82</v>
      </c>
      <c r="G1264" s="6">
        <f>C1264+E1264-F1264</f>
        <v>-6538.98</v>
      </c>
      <c r="H1264" s="6">
        <v>-1578.98</v>
      </c>
    </row>
    <row r="1265" spans="1:8" ht="22.5">
      <c r="A1265" s="4">
        <v>7</v>
      </c>
      <c r="B1265" s="5" t="s">
        <v>25</v>
      </c>
      <c r="C1265" s="8">
        <v>7811.96</v>
      </c>
      <c r="D1265" s="6"/>
      <c r="E1265" s="6"/>
      <c r="F1265" s="6"/>
      <c r="G1265" s="6">
        <v>7811.96</v>
      </c>
      <c r="H1265" s="6">
        <v>-115.73</v>
      </c>
    </row>
    <row r="1266" spans="1:8" ht="22.5">
      <c r="A1266" s="4">
        <v>7.1</v>
      </c>
      <c r="B1266" s="5" t="s">
        <v>404</v>
      </c>
      <c r="C1266" s="8">
        <v>13881</v>
      </c>
      <c r="D1266" s="6"/>
      <c r="E1266" s="6"/>
      <c r="F1266" s="6"/>
      <c r="G1266" s="6"/>
      <c r="H1266" s="6"/>
    </row>
    <row r="1267" spans="1:8" ht="22.5">
      <c r="A1267" s="4">
        <v>8</v>
      </c>
      <c r="B1267" s="5" t="s">
        <v>26</v>
      </c>
      <c r="C1267" s="5">
        <f aca="true" t="shared" si="33" ref="C1267:H1267">C1268+C1269+C1270+C1271</f>
        <v>0</v>
      </c>
      <c r="D1267" s="5">
        <f t="shared" si="33"/>
        <v>40877.93</v>
      </c>
      <c r="E1267" s="8">
        <f t="shared" si="33"/>
        <v>36344.75</v>
      </c>
      <c r="F1267" s="8">
        <f t="shared" si="33"/>
        <v>36636.4</v>
      </c>
      <c r="G1267" s="5">
        <f t="shared" si="33"/>
        <v>0</v>
      </c>
      <c r="H1267" s="5">
        <f t="shared" si="33"/>
        <v>-6441.08</v>
      </c>
    </row>
    <row r="1268" spans="1:8" ht="12.75">
      <c r="A1268" s="4" t="s">
        <v>368</v>
      </c>
      <c r="B1268" s="5" t="s">
        <v>28</v>
      </c>
      <c r="C1268" s="5"/>
      <c r="D1268" s="4">
        <v>4669.8</v>
      </c>
      <c r="E1268" s="6">
        <v>4378.15</v>
      </c>
      <c r="F1268" s="6">
        <f>D1268</f>
        <v>4669.8</v>
      </c>
      <c r="G1268" s="4"/>
      <c r="H1268" s="4">
        <f>-291.65</f>
        <v>-291.65</v>
      </c>
    </row>
    <row r="1269" spans="1:8" ht="33.75">
      <c r="A1269" s="4" t="s">
        <v>369</v>
      </c>
      <c r="B1269" s="5" t="s">
        <v>30</v>
      </c>
      <c r="C1269" s="5"/>
      <c r="D1269" s="4">
        <v>36208.13</v>
      </c>
      <c r="E1269" s="6">
        <v>31966.6</v>
      </c>
      <c r="F1269" s="6">
        <f>E1269</f>
        <v>31966.6</v>
      </c>
      <c r="G1269" s="4">
        <f>E1269-F1269</f>
        <v>0</v>
      </c>
      <c r="H1269" s="4">
        <f>-2476.9+569-4241.53</f>
        <v>-6149.43</v>
      </c>
    </row>
    <row r="1270" spans="1:8" ht="22.5">
      <c r="A1270" s="4" t="s">
        <v>370</v>
      </c>
      <c r="B1270" s="5" t="s">
        <v>32</v>
      </c>
      <c r="C1270" s="5"/>
      <c r="D1270" s="4"/>
      <c r="E1270" s="6"/>
      <c r="F1270" s="6"/>
      <c r="G1270" s="4"/>
      <c r="H1270" s="4"/>
    </row>
    <row r="1271" spans="1:8" ht="22.5">
      <c r="A1271" s="4" t="s">
        <v>371</v>
      </c>
      <c r="B1271" s="5" t="s">
        <v>34</v>
      </c>
      <c r="C1271" s="5"/>
      <c r="D1271" s="4"/>
      <c r="E1271" s="6"/>
      <c r="F1271" s="6"/>
      <c r="G1271" s="4"/>
      <c r="H1271" s="4"/>
    </row>
    <row r="1272" spans="1:8" ht="12.75">
      <c r="A1272" s="4"/>
      <c r="B1272" s="4"/>
      <c r="C1272" s="4"/>
      <c r="D1272" s="4"/>
      <c r="E1272" s="4"/>
      <c r="F1272" s="4"/>
      <c r="G1272" s="4"/>
      <c r="H1272" s="4"/>
    </row>
    <row r="1273" spans="1:8" ht="12.75">
      <c r="A1273" s="4"/>
      <c r="B1273" s="4"/>
      <c r="C1273" s="4"/>
      <c r="D1273" s="4"/>
      <c r="E1273" s="4"/>
      <c r="F1273" s="4"/>
      <c r="G1273" s="4"/>
      <c r="H1273" s="4"/>
    </row>
    <row r="1279" ht="121.5" customHeight="1"/>
    <row r="1280" ht="12.75">
      <c r="A1280" t="s">
        <v>0</v>
      </c>
    </row>
    <row r="1281" ht="12.75">
      <c r="A1281" t="s">
        <v>291</v>
      </c>
    </row>
    <row r="1282" ht="12.75">
      <c r="A1282" t="s">
        <v>1</v>
      </c>
    </row>
    <row r="1283" ht="12.75">
      <c r="A1283" t="s">
        <v>416</v>
      </c>
    </row>
    <row r="1285" ht="12.75">
      <c r="A1285" t="s">
        <v>2</v>
      </c>
    </row>
    <row r="1287" ht="12.75">
      <c r="A1287" t="s">
        <v>68</v>
      </c>
    </row>
    <row r="1288" ht="12.75">
      <c r="A1288" t="s">
        <v>146</v>
      </c>
    </row>
    <row r="1289" ht="12.75">
      <c r="A1289" t="s">
        <v>4</v>
      </c>
    </row>
    <row r="1290" ht="12.75">
      <c r="A1290" t="s">
        <v>147</v>
      </c>
    </row>
    <row r="1291" ht="12.75">
      <c r="A1291" t="s">
        <v>5</v>
      </c>
    </row>
    <row r="1293" ht="12.75">
      <c r="A1293" t="s">
        <v>6</v>
      </c>
    </row>
    <row r="1294" ht="12.75">
      <c r="A1294" t="s">
        <v>7</v>
      </c>
    </row>
    <row r="1296" spans="1:8" ht="12.75">
      <c r="A1296" s="4" t="s">
        <v>8</v>
      </c>
      <c r="B1296" s="4" t="s">
        <v>13</v>
      </c>
      <c r="C1296" s="4" t="s">
        <v>9</v>
      </c>
      <c r="D1296" s="4" t="s">
        <v>10</v>
      </c>
      <c r="E1296" s="4" t="s">
        <v>15</v>
      </c>
      <c r="F1296" s="4" t="s">
        <v>16</v>
      </c>
      <c r="G1296" s="4" t="s">
        <v>9</v>
      </c>
      <c r="H1296" s="4" t="s">
        <v>11</v>
      </c>
    </row>
    <row r="1297" spans="1:8" ht="12.75">
      <c r="A1297" s="4"/>
      <c r="B1297" s="4"/>
      <c r="C1297" s="4" t="s">
        <v>417</v>
      </c>
      <c r="D1297" s="4" t="s">
        <v>418</v>
      </c>
      <c r="E1297" s="4" t="s">
        <v>14</v>
      </c>
      <c r="F1297" s="4" t="s">
        <v>17</v>
      </c>
      <c r="G1297" s="4" t="s">
        <v>420</v>
      </c>
      <c r="H1297" s="4" t="s">
        <v>12</v>
      </c>
    </row>
    <row r="1298" spans="1:8" ht="12.75">
      <c r="A1298" s="4"/>
      <c r="B1298" s="4"/>
      <c r="C1298" s="4"/>
      <c r="D1298" s="4"/>
      <c r="E1298" s="4" t="s">
        <v>419</v>
      </c>
      <c r="F1298" s="4" t="s">
        <v>419</v>
      </c>
      <c r="G1298" s="4"/>
      <c r="H1298" s="4" t="s">
        <v>421</v>
      </c>
    </row>
    <row r="1299" spans="1:8" ht="12.75">
      <c r="A1299" s="4"/>
      <c r="B1299" s="4"/>
      <c r="C1299" s="4"/>
      <c r="D1299" s="4"/>
      <c r="E1299" s="4"/>
      <c r="F1299" s="4"/>
      <c r="G1299" s="4"/>
      <c r="H1299" s="4"/>
    </row>
    <row r="1300" spans="1:8" ht="22.5">
      <c r="A1300" s="4">
        <v>1</v>
      </c>
      <c r="B1300" s="5" t="s">
        <v>18</v>
      </c>
      <c r="C1300" s="6"/>
      <c r="D1300" s="6">
        <v>48806.73</v>
      </c>
      <c r="E1300" s="6">
        <v>45587.51</v>
      </c>
      <c r="F1300" s="6">
        <f>D1300</f>
        <v>48806.73</v>
      </c>
      <c r="G1300" s="6"/>
      <c r="H1300" s="6">
        <f>-5954.48-783-3219.22</f>
        <v>-9956.699999999999</v>
      </c>
    </row>
    <row r="1301" spans="1:8" ht="12.75">
      <c r="A1301" s="4">
        <v>3</v>
      </c>
      <c r="B1301" s="5" t="s">
        <v>21</v>
      </c>
      <c r="C1301" s="8"/>
      <c r="D1301" s="6"/>
      <c r="E1301" s="6"/>
      <c r="F1301" s="6"/>
      <c r="G1301" s="6"/>
      <c r="H1301" s="6"/>
    </row>
    <row r="1302" spans="1:8" ht="12.75">
      <c r="A1302" s="4">
        <v>4</v>
      </c>
      <c r="B1302" s="5" t="s">
        <v>22</v>
      </c>
      <c r="C1302" s="8"/>
      <c r="D1302" s="6">
        <v>23116.86</v>
      </c>
      <c r="E1302" s="6">
        <v>21631.19</v>
      </c>
      <c r="F1302" s="6">
        <f>D1302</f>
        <v>23116.86</v>
      </c>
      <c r="G1302" s="6"/>
      <c r="H1302" s="6">
        <f>-2229.43-313-1485.67</f>
        <v>-4028.1</v>
      </c>
    </row>
    <row r="1303" spans="1:8" ht="22.5">
      <c r="A1303" s="4">
        <v>5</v>
      </c>
      <c r="B1303" s="5" t="s">
        <v>23</v>
      </c>
      <c r="C1303" s="8"/>
      <c r="D1303" s="6"/>
      <c r="E1303" s="6"/>
      <c r="F1303" s="6"/>
      <c r="G1303" s="6"/>
      <c r="H1303" s="6"/>
    </row>
    <row r="1304" spans="1:8" ht="22.5">
      <c r="A1304" s="4">
        <v>6</v>
      </c>
      <c r="B1304" s="5" t="s">
        <v>24</v>
      </c>
      <c r="C1304" s="8">
        <v>31989.95</v>
      </c>
      <c r="D1304" s="6">
        <v>10107.24</v>
      </c>
      <c r="E1304" s="6">
        <f>'[1]текущий 2017'!$B$1769</f>
        <v>30584.229999999996</v>
      </c>
      <c r="F1304" s="6">
        <f>'[1]текущий 2017'!$C$1770</f>
        <v>28947.370000000003</v>
      </c>
      <c r="G1304" s="6">
        <f>C1304+E1304-F1304</f>
        <v>33626.80999999999</v>
      </c>
      <c r="H1304" s="6">
        <v>-1886.87</v>
      </c>
    </row>
    <row r="1305" spans="1:8" ht="22.5">
      <c r="A1305" s="4">
        <v>7</v>
      </c>
      <c r="B1305" s="5" t="s">
        <v>25</v>
      </c>
      <c r="C1305" s="8">
        <v>21187.48</v>
      </c>
      <c r="D1305" s="6"/>
      <c r="E1305" s="6"/>
      <c r="F1305" s="6">
        <v>21187.48</v>
      </c>
      <c r="G1305" s="6">
        <v>0</v>
      </c>
      <c r="H1305" s="6">
        <v>-592.3</v>
      </c>
    </row>
    <row r="1306" spans="1:8" ht="22.5">
      <c r="A1306" s="4">
        <v>7.1</v>
      </c>
      <c r="B1306" s="5" t="s">
        <v>404</v>
      </c>
      <c r="C1306" s="8">
        <v>21325</v>
      </c>
      <c r="D1306" s="6"/>
      <c r="E1306" s="6"/>
      <c r="F1306" s="6"/>
      <c r="G1306" s="6">
        <v>0</v>
      </c>
      <c r="H1306" s="6"/>
    </row>
    <row r="1307" spans="1:8" ht="22.5">
      <c r="A1307" s="4">
        <v>8</v>
      </c>
      <c r="B1307" s="5" t="s">
        <v>26</v>
      </c>
      <c r="C1307" s="5">
        <f aca="true" t="shared" si="34" ref="C1307:H1307">C1308+C1309+C1310+C1311</f>
        <v>0</v>
      </c>
      <c r="D1307" s="5">
        <f t="shared" si="34"/>
        <v>109269.70000000001</v>
      </c>
      <c r="E1307" s="8">
        <f t="shared" si="34"/>
        <v>103909.69</v>
      </c>
      <c r="F1307" s="8">
        <f t="shared" si="34"/>
        <v>104466.07</v>
      </c>
      <c r="G1307" s="5">
        <f t="shared" si="34"/>
        <v>0</v>
      </c>
      <c r="H1307" s="5">
        <f t="shared" si="34"/>
        <v>-15380.550000000001</v>
      </c>
    </row>
    <row r="1308" spans="1:8" ht="12.75">
      <c r="A1308" s="4" t="s">
        <v>368</v>
      </c>
      <c r="B1308" s="5" t="s">
        <v>28</v>
      </c>
      <c r="C1308" s="5"/>
      <c r="D1308" s="4">
        <v>8864.18</v>
      </c>
      <c r="E1308" s="6">
        <v>8307.8</v>
      </c>
      <c r="F1308" s="6">
        <f>D1308</f>
        <v>8864.18</v>
      </c>
      <c r="G1308" s="4"/>
      <c r="H1308" s="4">
        <f>556.38</f>
        <v>556.38</v>
      </c>
    </row>
    <row r="1309" spans="1:8" ht="33.75">
      <c r="A1309" s="4" t="s">
        <v>369</v>
      </c>
      <c r="B1309" s="5" t="s">
        <v>30</v>
      </c>
      <c r="C1309" s="5"/>
      <c r="D1309" s="4">
        <v>100405.52</v>
      </c>
      <c r="E1309" s="6">
        <v>95601.89</v>
      </c>
      <c r="F1309" s="6">
        <f>E1309</f>
        <v>95601.89</v>
      </c>
      <c r="G1309" s="4">
        <f>E1309-F1309</f>
        <v>0</v>
      </c>
      <c r="H1309" s="4">
        <f>-10191.3-942-4803.63</f>
        <v>-15936.93</v>
      </c>
    </row>
    <row r="1310" spans="1:8" ht="22.5">
      <c r="A1310" s="4" t="s">
        <v>370</v>
      </c>
      <c r="B1310" s="5" t="s">
        <v>32</v>
      </c>
      <c r="C1310" s="5"/>
      <c r="D1310" s="4"/>
      <c r="E1310" s="6"/>
      <c r="F1310" s="6"/>
      <c r="G1310" s="4"/>
      <c r="H1310" s="4"/>
    </row>
    <row r="1311" spans="1:8" ht="22.5">
      <c r="A1311" s="4" t="s">
        <v>371</v>
      </c>
      <c r="B1311" s="5" t="s">
        <v>34</v>
      </c>
      <c r="C1311" s="5"/>
      <c r="D1311" s="4"/>
      <c r="E1311" s="6"/>
      <c r="F1311" s="6"/>
      <c r="G1311" s="4"/>
      <c r="H1311" s="4"/>
    </row>
    <row r="1312" spans="1:8" ht="12.75">
      <c r="A1312" s="4"/>
      <c r="B1312" s="4"/>
      <c r="C1312" s="4"/>
      <c r="D1312" s="4"/>
      <c r="E1312" s="4"/>
      <c r="F1312" s="4"/>
      <c r="G1312" s="4"/>
      <c r="H1312" s="4"/>
    </row>
    <row r="1313" spans="1:8" ht="12.75">
      <c r="A1313" s="4"/>
      <c r="B1313" s="4"/>
      <c r="C1313" s="4"/>
      <c r="D1313" s="4"/>
      <c r="E1313" s="4"/>
      <c r="F1313" s="4"/>
      <c r="G1313" s="4"/>
      <c r="H1313" s="4"/>
    </row>
    <row r="1319" ht="116.25" customHeight="1"/>
    <row r="1320" ht="12.75">
      <c r="A1320" t="s">
        <v>0</v>
      </c>
    </row>
    <row r="1321" ht="12.75">
      <c r="A1321" t="s">
        <v>291</v>
      </c>
    </row>
    <row r="1322" ht="12.75">
      <c r="A1322" t="s">
        <v>1</v>
      </c>
    </row>
    <row r="1323" ht="12.75">
      <c r="A1323" t="s">
        <v>416</v>
      </c>
    </row>
    <row r="1325" ht="12.75">
      <c r="A1325" t="s">
        <v>2</v>
      </c>
    </row>
    <row r="1327" ht="12.75">
      <c r="A1327" t="s">
        <v>69</v>
      </c>
    </row>
    <row r="1328" ht="12.75">
      <c r="A1328" t="s">
        <v>148</v>
      </c>
    </row>
    <row r="1329" ht="12.75">
      <c r="A1329" t="s">
        <v>4</v>
      </c>
    </row>
    <row r="1330" ht="12.75">
      <c r="A1330" t="s">
        <v>149</v>
      </c>
    </row>
    <row r="1331" ht="12.75">
      <c r="A1331" t="s">
        <v>5</v>
      </c>
    </row>
    <row r="1333" ht="12.75">
      <c r="A1333" t="s">
        <v>6</v>
      </c>
    </row>
    <row r="1334" ht="12.75">
      <c r="A1334" t="s">
        <v>7</v>
      </c>
    </row>
    <row r="1336" spans="1:8" ht="12.75">
      <c r="A1336" s="4" t="s">
        <v>8</v>
      </c>
      <c r="B1336" s="4" t="s">
        <v>13</v>
      </c>
      <c r="C1336" s="4" t="s">
        <v>9</v>
      </c>
      <c r="D1336" s="4" t="s">
        <v>10</v>
      </c>
      <c r="E1336" s="4" t="s">
        <v>15</v>
      </c>
      <c r="F1336" s="4" t="s">
        <v>16</v>
      </c>
      <c r="G1336" s="4" t="s">
        <v>9</v>
      </c>
      <c r="H1336" s="4" t="s">
        <v>11</v>
      </c>
    </row>
    <row r="1337" spans="1:8" ht="12.75">
      <c r="A1337" s="4"/>
      <c r="B1337" s="4"/>
      <c r="C1337" s="4" t="s">
        <v>417</v>
      </c>
      <c r="D1337" s="4" t="s">
        <v>418</v>
      </c>
      <c r="E1337" s="4" t="s">
        <v>14</v>
      </c>
      <c r="F1337" s="4" t="s">
        <v>17</v>
      </c>
      <c r="G1337" s="4" t="s">
        <v>420</v>
      </c>
      <c r="H1337" s="4" t="s">
        <v>12</v>
      </c>
    </row>
    <row r="1338" spans="1:8" ht="12.75">
      <c r="A1338" s="4"/>
      <c r="B1338" s="4"/>
      <c r="C1338" s="4"/>
      <c r="D1338" s="4"/>
      <c r="E1338" s="4" t="s">
        <v>419</v>
      </c>
      <c r="F1338" s="4" t="s">
        <v>419</v>
      </c>
      <c r="G1338" s="4"/>
      <c r="H1338" s="4" t="s">
        <v>421</v>
      </c>
    </row>
    <row r="1339" spans="1:8" ht="12.75">
      <c r="A1339" s="4"/>
      <c r="B1339" s="4"/>
      <c r="C1339" s="4"/>
      <c r="D1339" s="4"/>
      <c r="E1339" s="4"/>
      <c r="F1339" s="4"/>
      <c r="G1339" s="4"/>
      <c r="H1339" s="4"/>
    </row>
    <row r="1340" spans="1:8" ht="22.5">
      <c r="A1340" s="4">
        <v>1</v>
      </c>
      <c r="B1340" s="5" t="s">
        <v>18</v>
      </c>
      <c r="C1340" s="6"/>
      <c r="D1340" s="6">
        <v>31163.39</v>
      </c>
      <c r="E1340" s="6">
        <v>30473.26</v>
      </c>
      <c r="F1340" s="6">
        <f>D1340</f>
        <v>31163.39</v>
      </c>
      <c r="G1340" s="6"/>
      <c r="H1340" s="6">
        <f>-20951.76-1569-690.13</f>
        <v>-23210.89</v>
      </c>
    </row>
    <row r="1341" spans="1:8" ht="12.75">
      <c r="A1341" s="4">
        <v>3</v>
      </c>
      <c r="B1341" s="5" t="s">
        <v>21</v>
      </c>
      <c r="C1341" s="8"/>
      <c r="D1341" s="6"/>
      <c r="E1341" s="6"/>
      <c r="F1341" s="6"/>
      <c r="G1341" s="6"/>
      <c r="H1341" s="6"/>
    </row>
    <row r="1342" spans="1:8" ht="12.75">
      <c r="A1342" s="4">
        <v>4</v>
      </c>
      <c r="B1342" s="5" t="s">
        <v>22</v>
      </c>
      <c r="C1342" s="8"/>
      <c r="D1342" s="6">
        <v>14728.74</v>
      </c>
      <c r="E1342" s="6">
        <v>13255.67</v>
      </c>
      <c r="F1342" s="6">
        <f>D1342</f>
        <v>14728.74</v>
      </c>
      <c r="G1342" s="6"/>
      <c r="H1342" s="6">
        <f>-8020.3-9451473.07</f>
        <v>-9459493.370000001</v>
      </c>
    </row>
    <row r="1343" spans="1:8" ht="22.5">
      <c r="A1343" s="4">
        <v>5</v>
      </c>
      <c r="B1343" s="5" t="s">
        <v>23</v>
      </c>
      <c r="C1343" s="8"/>
      <c r="D1343" s="6"/>
      <c r="E1343" s="6"/>
      <c r="F1343" s="6"/>
      <c r="G1343" s="6"/>
      <c r="H1343" s="6"/>
    </row>
    <row r="1344" spans="1:8" ht="22.5">
      <c r="A1344" s="4">
        <v>6</v>
      </c>
      <c r="B1344" s="5" t="s">
        <v>24</v>
      </c>
      <c r="C1344" s="8">
        <v>3664.12</v>
      </c>
      <c r="D1344" s="6">
        <v>6439.68</v>
      </c>
      <c r="E1344" s="6">
        <f>'[1]текущий 2017'!$B$1820</f>
        <v>8298.63</v>
      </c>
      <c r="F1344" s="6"/>
      <c r="G1344" s="6">
        <f>C1344+E1344-F1344</f>
        <v>11962.75</v>
      </c>
      <c r="H1344" s="6">
        <v>-4630.89</v>
      </c>
    </row>
    <row r="1345" spans="1:8" ht="22.5">
      <c r="A1345" s="4">
        <v>7</v>
      </c>
      <c r="B1345" s="5" t="s">
        <v>25</v>
      </c>
      <c r="C1345" s="8">
        <v>-82111.05</v>
      </c>
      <c r="D1345" s="6"/>
      <c r="E1345" s="6"/>
      <c r="F1345" s="6"/>
      <c r="G1345" s="6">
        <f>C1345+E1345-F1345</f>
        <v>-82111.05</v>
      </c>
      <c r="H1345" s="6">
        <v>-1120.53</v>
      </c>
    </row>
    <row r="1346" spans="1:8" ht="22.5">
      <c r="A1346" s="4">
        <v>8</v>
      </c>
      <c r="B1346" s="5" t="s">
        <v>26</v>
      </c>
      <c r="C1346" s="5">
        <f aca="true" t="shared" si="35" ref="C1346:H1346">C1347+C1348+C1349+C1350</f>
        <v>0</v>
      </c>
      <c r="D1346" s="5">
        <f t="shared" si="35"/>
        <v>76909.45999999999</v>
      </c>
      <c r="E1346" s="8">
        <f t="shared" si="35"/>
        <v>73683.45999999999</v>
      </c>
      <c r="F1346" s="8">
        <f t="shared" si="35"/>
        <v>74674.90999999999</v>
      </c>
      <c r="G1346" s="5">
        <f t="shared" si="35"/>
        <v>0</v>
      </c>
      <c r="H1346" s="5">
        <f t="shared" si="35"/>
        <v>-40290.51</v>
      </c>
    </row>
    <row r="1347" spans="1:8" ht="12.75">
      <c r="A1347" s="4" t="s">
        <v>368</v>
      </c>
      <c r="B1347" s="5" t="s">
        <v>28</v>
      </c>
      <c r="C1347" s="5"/>
      <c r="D1347" s="4">
        <v>5684.23</v>
      </c>
      <c r="E1347" s="6">
        <v>4692.78</v>
      </c>
      <c r="F1347" s="6">
        <f>D1347</f>
        <v>5684.23</v>
      </c>
      <c r="G1347" s="4"/>
      <c r="H1347" s="4">
        <f>-991.45</f>
        <v>-991.45</v>
      </c>
    </row>
    <row r="1348" spans="1:8" ht="33.75">
      <c r="A1348" s="4" t="s">
        <v>369</v>
      </c>
      <c r="B1348" s="5" t="s">
        <v>30</v>
      </c>
      <c r="C1348" s="5"/>
      <c r="D1348" s="4">
        <v>71225.23</v>
      </c>
      <c r="E1348" s="6">
        <v>68990.68</v>
      </c>
      <c r="F1348" s="6">
        <f>E1348</f>
        <v>68990.68</v>
      </c>
      <c r="G1348" s="4">
        <f>E1348-F1348</f>
        <v>0</v>
      </c>
      <c r="H1348" s="4">
        <f>-42527.51+5463-2234.55</f>
        <v>-39299.060000000005</v>
      </c>
    </row>
    <row r="1349" spans="1:8" ht="22.5">
      <c r="A1349" s="4" t="s">
        <v>370</v>
      </c>
      <c r="B1349" s="5" t="s">
        <v>32</v>
      </c>
      <c r="C1349" s="5"/>
      <c r="D1349" s="4"/>
      <c r="E1349" s="6"/>
      <c r="F1349" s="6"/>
      <c r="G1349" s="4"/>
      <c r="H1349" s="4"/>
    </row>
    <row r="1350" spans="1:8" ht="22.5">
      <c r="A1350" s="4" t="s">
        <v>371</v>
      </c>
      <c r="B1350" s="5" t="s">
        <v>34</v>
      </c>
      <c r="C1350" s="5"/>
      <c r="D1350" s="4"/>
      <c r="E1350" s="6"/>
      <c r="F1350" s="6"/>
      <c r="G1350" s="4"/>
      <c r="H1350" s="4"/>
    </row>
    <row r="1351" spans="1:8" ht="12.75">
      <c r="A1351" s="4"/>
      <c r="B1351" s="4"/>
      <c r="C1351" s="4"/>
      <c r="D1351" s="4"/>
      <c r="E1351" s="4"/>
      <c r="F1351" s="4"/>
      <c r="G1351" s="4"/>
      <c r="H1351" s="4"/>
    </row>
    <row r="1352" spans="1:8" ht="12.75">
      <c r="A1352" s="4"/>
      <c r="B1352" s="4"/>
      <c r="C1352" s="4"/>
      <c r="D1352" s="4"/>
      <c r="E1352" s="4"/>
      <c r="F1352" s="4"/>
      <c r="G1352" s="4"/>
      <c r="H1352" s="4"/>
    </row>
    <row r="1356" ht="164.25" customHeight="1"/>
    <row r="1357" ht="12.75">
      <c r="A1357" t="s">
        <v>0</v>
      </c>
    </row>
    <row r="1358" ht="12.75">
      <c r="A1358" t="s">
        <v>291</v>
      </c>
    </row>
    <row r="1359" ht="12.75">
      <c r="A1359" t="s">
        <v>1</v>
      </c>
    </row>
    <row r="1360" ht="12.75">
      <c r="A1360" t="s">
        <v>416</v>
      </c>
    </row>
    <row r="1362" ht="12.75">
      <c r="A1362" t="s">
        <v>2</v>
      </c>
    </row>
    <row r="1364" ht="12.75">
      <c r="A1364" t="s">
        <v>70</v>
      </c>
    </row>
    <row r="1365" ht="12.75">
      <c r="A1365" t="s">
        <v>150</v>
      </c>
    </row>
    <row r="1366" ht="12.75">
      <c r="A1366" t="s">
        <v>4</v>
      </c>
    </row>
    <row r="1367" ht="12.75">
      <c r="A1367" t="s">
        <v>151</v>
      </c>
    </row>
    <row r="1368" ht="12.75">
      <c r="A1368" t="s">
        <v>5</v>
      </c>
    </row>
    <row r="1370" ht="12.75">
      <c r="A1370" t="s">
        <v>6</v>
      </c>
    </row>
    <row r="1371" ht="12.75">
      <c r="A1371" t="s">
        <v>7</v>
      </c>
    </row>
    <row r="1373" spans="1:8" ht="12.75">
      <c r="A1373" s="4" t="s">
        <v>8</v>
      </c>
      <c r="B1373" s="4" t="s">
        <v>13</v>
      </c>
      <c r="C1373" s="4" t="s">
        <v>9</v>
      </c>
      <c r="D1373" s="4" t="s">
        <v>10</v>
      </c>
      <c r="E1373" s="4" t="s">
        <v>15</v>
      </c>
      <c r="F1373" s="4" t="s">
        <v>16</v>
      </c>
      <c r="G1373" s="4" t="s">
        <v>9</v>
      </c>
      <c r="H1373" s="4" t="s">
        <v>11</v>
      </c>
    </row>
    <row r="1374" spans="1:8" ht="12.75">
      <c r="A1374" s="4"/>
      <c r="B1374" s="4"/>
      <c r="C1374" s="4" t="s">
        <v>417</v>
      </c>
      <c r="D1374" s="4" t="s">
        <v>418</v>
      </c>
      <c r="E1374" s="4" t="s">
        <v>14</v>
      </c>
      <c r="F1374" s="4" t="s">
        <v>17</v>
      </c>
      <c r="G1374" s="4" t="s">
        <v>420</v>
      </c>
      <c r="H1374" s="4" t="s">
        <v>12</v>
      </c>
    </row>
    <row r="1375" spans="1:8" ht="12.75">
      <c r="A1375" s="4"/>
      <c r="B1375" s="4"/>
      <c r="C1375" s="4"/>
      <c r="D1375" s="4"/>
      <c r="E1375" s="4" t="s">
        <v>419</v>
      </c>
      <c r="F1375" s="4" t="s">
        <v>419</v>
      </c>
      <c r="G1375" s="4"/>
      <c r="H1375" s="4" t="s">
        <v>421</v>
      </c>
    </row>
    <row r="1376" spans="1:8" ht="12.75">
      <c r="A1376" s="4"/>
      <c r="B1376" s="4"/>
      <c r="C1376" s="4"/>
      <c r="D1376" s="4"/>
      <c r="E1376" s="4"/>
      <c r="F1376" s="4"/>
      <c r="G1376" s="4"/>
      <c r="H1376" s="4"/>
    </row>
    <row r="1377" spans="1:8" ht="22.5">
      <c r="A1377" s="4">
        <v>1</v>
      </c>
      <c r="B1377" s="5" t="s">
        <v>18</v>
      </c>
      <c r="C1377" s="6"/>
      <c r="D1377" s="6">
        <v>380096.6</v>
      </c>
      <c r="E1377" s="6">
        <v>379737.42</v>
      </c>
      <c r="F1377" s="6">
        <f>D1377</f>
        <v>380096.6</v>
      </c>
      <c r="G1377" s="6"/>
      <c r="H1377" s="6">
        <f>-12349.51-3203.54-359.18</f>
        <v>-15912.23</v>
      </c>
    </row>
    <row r="1378" spans="1:8" ht="12.75">
      <c r="A1378" s="4">
        <v>2</v>
      </c>
      <c r="B1378" s="5" t="s">
        <v>21</v>
      </c>
      <c r="C1378" s="8"/>
      <c r="D1378" s="6"/>
      <c r="E1378" s="6"/>
      <c r="F1378" s="6"/>
      <c r="G1378" s="6"/>
      <c r="H1378" s="6"/>
    </row>
    <row r="1379" spans="1:8" ht="12.75">
      <c r="A1379" s="4">
        <v>3</v>
      </c>
      <c r="B1379" s="5" t="s">
        <v>22</v>
      </c>
      <c r="C1379" s="8"/>
      <c r="D1379" s="6">
        <v>158941.98</v>
      </c>
      <c r="E1379" s="6">
        <v>157558.57</v>
      </c>
      <c r="F1379" s="6">
        <f>D1379</f>
        <v>158941.98</v>
      </c>
      <c r="G1379" s="6"/>
      <c r="H1379" s="6">
        <f>-4011.13+200-1383.41</f>
        <v>-5194.54</v>
      </c>
    </row>
    <row r="1380" spans="1:8" ht="22.5">
      <c r="A1380" s="4">
        <v>4</v>
      </c>
      <c r="B1380" s="5" t="s">
        <v>23</v>
      </c>
      <c r="C1380" s="8"/>
      <c r="D1380" s="6"/>
      <c r="E1380" s="6"/>
      <c r="F1380" s="6"/>
      <c r="G1380" s="6"/>
      <c r="H1380" s="6"/>
    </row>
    <row r="1381" spans="1:8" ht="22.5">
      <c r="A1381" s="4">
        <v>5</v>
      </c>
      <c r="B1381" s="5" t="s">
        <v>24</v>
      </c>
      <c r="C1381" s="8">
        <v>-24003.88</v>
      </c>
      <c r="D1381" s="6">
        <v>288928.56</v>
      </c>
      <c r="E1381" s="6">
        <f>'[1]текущий 2017'!$B$1871</f>
        <v>279326.52</v>
      </c>
      <c r="F1381" s="6">
        <f>'[1]текущий 2017'!$C$1872</f>
        <v>238585.85</v>
      </c>
      <c r="G1381" s="6">
        <f>C1381+E1381-F1381</f>
        <v>16736.790000000008</v>
      </c>
      <c r="H1381" s="6">
        <v>-6573</v>
      </c>
    </row>
    <row r="1382" spans="1:8" ht="22.5">
      <c r="A1382" s="4">
        <v>6</v>
      </c>
      <c r="B1382" s="5" t="s">
        <v>25</v>
      </c>
      <c r="C1382" s="8">
        <v>51643.96</v>
      </c>
      <c r="D1382" s="6"/>
      <c r="E1382" s="6"/>
      <c r="F1382" s="6"/>
      <c r="G1382" s="6">
        <v>51643.96</v>
      </c>
      <c r="H1382" s="6"/>
    </row>
    <row r="1383" spans="1:8" ht="22.5">
      <c r="A1383" s="24" t="s">
        <v>390</v>
      </c>
      <c r="B1383" s="5" t="s">
        <v>405</v>
      </c>
      <c r="C1383" s="8">
        <v>155819</v>
      </c>
      <c r="D1383" s="6"/>
      <c r="E1383" s="6"/>
      <c r="F1383" s="6"/>
      <c r="G1383" s="6"/>
      <c r="H1383" s="6"/>
    </row>
    <row r="1384" spans="1:8" ht="22.5">
      <c r="A1384" s="4">
        <v>7</v>
      </c>
      <c r="B1384" s="5" t="s">
        <v>26</v>
      </c>
      <c r="C1384" s="5">
        <f aca="true" t="shared" si="36" ref="C1384:H1384">C1385+C1386+C1387+C1388</f>
        <v>0</v>
      </c>
      <c r="D1384" s="5">
        <f t="shared" si="36"/>
        <v>2087602.0699999998</v>
      </c>
      <c r="E1384" s="8">
        <f t="shared" si="36"/>
        <v>2048101.24</v>
      </c>
      <c r="F1384" s="8">
        <f t="shared" si="36"/>
        <v>2051052.25</v>
      </c>
      <c r="G1384" s="5"/>
      <c r="H1384" s="5">
        <f t="shared" si="36"/>
        <v>-613504.9299999999</v>
      </c>
    </row>
    <row r="1385" spans="1:8" ht="12.75">
      <c r="A1385" s="4" t="s">
        <v>27</v>
      </c>
      <c r="B1385" s="5" t="s">
        <v>28</v>
      </c>
      <c r="C1385" s="5"/>
      <c r="D1385" s="4">
        <v>37977.66</v>
      </c>
      <c r="E1385" s="6">
        <v>35026.65</v>
      </c>
      <c r="F1385" s="6">
        <f>D1385</f>
        <v>37977.66</v>
      </c>
      <c r="G1385" s="4"/>
      <c r="H1385" s="4">
        <f>-2951.01</f>
        <v>-2951.01</v>
      </c>
    </row>
    <row r="1386" spans="1:8" ht="33.75">
      <c r="A1386" s="4" t="s">
        <v>29</v>
      </c>
      <c r="B1386" s="5" t="s">
        <v>30</v>
      </c>
      <c r="C1386" s="5"/>
      <c r="D1386" s="4">
        <v>355549.94</v>
      </c>
      <c r="E1386" s="6">
        <v>352249.79</v>
      </c>
      <c r="F1386" s="6">
        <f>E1386</f>
        <v>352249.79</v>
      </c>
      <c r="G1386" s="4">
        <f>E1386-F1386</f>
        <v>0</v>
      </c>
      <c r="H1386" s="4">
        <f>-47132.77-2745-3300.15</f>
        <v>-53177.92</v>
      </c>
    </row>
    <row r="1387" spans="1:8" ht="22.5">
      <c r="A1387" s="4" t="s">
        <v>31</v>
      </c>
      <c r="B1387" s="5" t="s">
        <v>32</v>
      </c>
      <c r="C1387" s="5"/>
      <c r="D1387" s="4">
        <v>583247.75</v>
      </c>
      <c r="E1387" s="6">
        <v>574571.4</v>
      </c>
      <c r="F1387" s="6">
        <f>E1387</f>
        <v>574571.4</v>
      </c>
      <c r="G1387" s="4"/>
      <c r="H1387" s="4">
        <f>-130378.5-4589-8676.75</f>
        <v>-143644.25</v>
      </c>
    </row>
    <row r="1388" spans="1:8" ht="22.5">
      <c r="A1388" s="4" t="s">
        <v>33</v>
      </c>
      <c r="B1388" s="5" t="s">
        <v>34</v>
      </c>
      <c r="C1388" s="5"/>
      <c r="D1388" s="4">
        <v>1110826.72</v>
      </c>
      <c r="E1388" s="6">
        <v>1086253.4</v>
      </c>
      <c r="F1388" s="6">
        <f>E1388</f>
        <v>1086253.4</v>
      </c>
      <c r="G1388" s="4">
        <f>E1388-F1388</f>
        <v>0</v>
      </c>
      <c r="H1388" s="4">
        <f>-345758.43-43400-24573.32</f>
        <v>-413731.75</v>
      </c>
    </row>
    <row r="1389" spans="1:8" ht="56.25">
      <c r="A1389" s="4"/>
      <c r="B1389" s="23" t="s">
        <v>389</v>
      </c>
      <c r="C1389" s="4">
        <v>21600</v>
      </c>
      <c r="D1389" s="4">
        <v>7200</v>
      </c>
      <c r="E1389" s="4">
        <v>7200</v>
      </c>
      <c r="F1389" s="4"/>
      <c r="G1389" s="4">
        <f>C1389+E1389</f>
        <v>28800</v>
      </c>
      <c r="H1389" s="4"/>
    </row>
    <row r="1390" spans="1:8" ht="12.75">
      <c r="A1390" s="4"/>
      <c r="B1390" s="4"/>
      <c r="C1390" s="4"/>
      <c r="D1390" s="4"/>
      <c r="E1390" s="4"/>
      <c r="F1390" s="4"/>
      <c r="G1390" s="4"/>
      <c r="H1390" s="4"/>
    </row>
    <row r="1393" ht="114.75" customHeight="1"/>
    <row r="1394" ht="12.75">
      <c r="A1394" t="s">
        <v>0</v>
      </c>
    </row>
    <row r="1395" ht="12.75">
      <c r="A1395" t="s">
        <v>291</v>
      </c>
    </row>
    <row r="1396" ht="12.75">
      <c r="A1396" t="s">
        <v>1</v>
      </c>
    </row>
    <row r="1397" ht="12.75">
      <c r="A1397" t="s">
        <v>416</v>
      </c>
    </row>
    <row r="1399" ht="12.75">
      <c r="A1399" t="s">
        <v>2</v>
      </c>
    </row>
    <row r="1401" ht="12.75">
      <c r="A1401" t="s">
        <v>71</v>
      </c>
    </row>
    <row r="1402" ht="12.75">
      <c r="A1402" t="s">
        <v>152</v>
      </c>
    </row>
    <row r="1403" ht="12.75">
      <c r="A1403" t="s">
        <v>4</v>
      </c>
    </row>
    <row r="1404" ht="12.75">
      <c r="A1404" t="s">
        <v>153</v>
      </c>
    </row>
    <row r="1405" ht="12.75">
      <c r="A1405" t="s">
        <v>154</v>
      </c>
    </row>
    <row r="1407" ht="12.75">
      <c r="A1407" t="s">
        <v>6</v>
      </c>
    </row>
    <row r="1408" ht="12.75">
      <c r="A1408" t="s">
        <v>7</v>
      </c>
    </row>
    <row r="1410" spans="1:8" ht="12.75">
      <c r="A1410" s="4" t="s">
        <v>8</v>
      </c>
      <c r="B1410" s="4" t="s">
        <v>13</v>
      </c>
      <c r="C1410" s="4" t="s">
        <v>9</v>
      </c>
      <c r="D1410" s="4" t="s">
        <v>10</v>
      </c>
      <c r="E1410" s="4" t="s">
        <v>15</v>
      </c>
      <c r="F1410" s="4" t="s">
        <v>16</v>
      </c>
      <c r="G1410" s="4" t="s">
        <v>9</v>
      </c>
      <c r="H1410" s="4" t="s">
        <v>11</v>
      </c>
    </row>
    <row r="1411" spans="1:8" ht="12.75">
      <c r="A1411" s="4"/>
      <c r="B1411" s="4"/>
      <c r="C1411" s="4" t="s">
        <v>417</v>
      </c>
      <c r="D1411" s="4" t="s">
        <v>418</v>
      </c>
      <c r="E1411" s="4" t="s">
        <v>14</v>
      </c>
      <c r="F1411" s="4" t="s">
        <v>17</v>
      </c>
      <c r="G1411" s="4" t="s">
        <v>420</v>
      </c>
      <c r="H1411" s="4" t="s">
        <v>12</v>
      </c>
    </row>
    <row r="1412" spans="1:8" ht="12.75">
      <c r="A1412" s="4"/>
      <c r="B1412" s="4"/>
      <c r="C1412" s="4"/>
      <c r="D1412" s="4"/>
      <c r="E1412" s="4" t="s">
        <v>419</v>
      </c>
      <c r="F1412" s="4" t="s">
        <v>419</v>
      </c>
      <c r="G1412" s="4"/>
      <c r="H1412" s="4" t="s">
        <v>421</v>
      </c>
    </row>
    <row r="1413" spans="1:8" ht="12.75">
      <c r="A1413" s="4"/>
      <c r="B1413" s="4"/>
      <c r="C1413" s="4"/>
      <c r="D1413" s="4"/>
      <c r="E1413" s="4"/>
      <c r="F1413" s="4"/>
      <c r="G1413" s="4"/>
      <c r="H1413" s="4"/>
    </row>
    <row r="1414" spans="1:8" ht="22.5">
      <c r="A1414" s="4">
        <v>1</v>
      </c>
      <c r="B1414" s="5" t="s">
        <v>18</v>
      </c>
      <c r="C1414" s="6"/>
      <c r="D1414" s="6">
        <v>131235.72</v>
      </c>
      <c r="E1414" s="6">
        <v>129956.17</v>
      </c>
      <c r="F1414" s="6">
        <f>D1414</f>
        <v>131235.72</v>
      </c>
      <c r="G1414" s="6"/>
      <c r="H1414" s="6">
        <f>-16713.05-1256-1279.55</f>
        <v>-19248.6</v>
      </c>
    </row>
    <row r="1415" spans="1:8" ht="12.75">
      <c r="A1415" s="4">
        <v>2</v>
      </c>
      <c r="B1415" s="5" t="s">
        <v>21</v>
      </c>
      <c r="C1415" s="8"/>
      <c r="D1415" s="6"/>
      <c r="E1415" s="6"/>
      <c r="F1415" s="6"/>
      <c r="G1415" s="6"/>
      <c r="H1415" s="6"/>
    </row>
    <row r="1416" spans="1:8" ht="12.75">
      <c r="A1416" s="4">
        <v>3</v>
      </c>
      <c r="B1416" s="5" t="s">
        <v>22</v>
      </c>
      <c r="C1416" s="8"/>
      <c r="D1416" s="6">
        <v>58761</v>
      </c>
      <c r="E1416" s="6">
        <v>57542.74</v>
      </c>
      <c r="F1416" s="6">
        <f>D1416</f>
        <v>58761</v>
      </c>
      <c r="G1416" s="6"/>
      <c r="H1416" s="6">
        <f>-5065.98+542-1218.26</f>
        <v>-5742.24</v>
      </c>
    </row>
    <row r="1417" spans="1:8" ht="22.5">
      <c r="A1417" s="4">
        <v>4</v>
      </c>
      <c r="B1417" s="5" t="s">
        <v>23</v>
      </c>
      <c r="C1417" s="8"/>
      <c r="D1417" s="6"/>
      <c r="E1417" s="6"/>
      <c r="F1417" s="6"/>
      <c r="G1417" s="6"/>
      <c r="H1417" s="6"/>
    </row>
    <row r="1418" spans="1:8" ht="22.5">
      <c r="A1418" s="4">
        <v>5</v>
      </c>
      <c r="B1418" s="5" t="s">
        <v>24</v>
      </c>
      <c r="C1418" s="8">
        <v>104917.03</v>
      </c>
      <c r="D1418" s="6">
        <v>28643.4</v>
      </c>
      <c r="E1418" s="6">
        <f>'[1]текущий 2017'!$B$1922</f>
        <v>29689.81</v>
      </c>
      <c r="F1418" s="6">
        <f>'[1]текущий 2017'!$C$1923</f>
        <v>32513.32</v>
      </c>
      <c r="G1418" s="6">
        <f>C1418+E1418-F1418</f>
        <v>102093.51999999999</v>
      </c>
      <c r="H1418" s="6">
        <v>-5922.66</v>
      </c>
    </row>
    <row r="1419" spans="1:8" ht="22.5">
      <c r="A1419" s="4">
        <v>6</v>
      </c>
      <c r="B1419" s="5" t="s">
        <v>25</v>
      </c>
      <c r="C1419" s="8">
        <v>0</v>
      </c>
      <c r="D1419" s="6"/>
      <c r="E1419" s="6"/>
      <c r="F1419" s="6">
        <f>Лист3!D1436</f>
        <v>0</v>
      </c>
      <c r="G1419" s="6">
        <f>C1419+E1419-F1419</f>
        <v>0</v>
      </c>
      <c r="H1419" s="6">
        <v>-2661.3</v>
      </c>
    </row>
    <row r="1420" spans="1:8" ht="22.5">
      <c r="A1420" s="4">
        <v>7</v>
      </c>
      <c r="B1420" s="5" t="s">
        <v>26</v>
      </c>
      <c r="C1420" s="5">
        <f aca="true" t="shared" si="37" ref="C1420:H1420">C1421+C1422+C1423+C1424</f>
        <v>0</v>
      </c>
      <c r="D1420" s="5">
        <f t="shared" si="37"/>
        <v>682245.02</v>
      </c>
      <c r="E1420" s="8">
        <f t="shared" si="37"/>
        <v>670262.53</v>
      </c>
      <c r="F1420" s="8">
        <f t="shared" si="37"/>
        <v>670826.03</v>
      </c>
      <c r="G1420" s="5">
        <f t="shared" si="37"/>
        <v>0</v>
      </c>
      <c r="H1420" s="5">
        <f t="shared" si="37"/>
        <v>-144117.53</v>
      </c>
    </row>
    <row r="1421" spans="1:8" ht="12.75">
      <c r="A1421" s="4" t="s">
        <v>27</v>
      </c>
      <c r="B1421" s="5" t="s">
        <v>28</v>
      </c>
      <c r="C1421" s="5"/>
      <c r="D1421" s="4">
        <v>17952.8</v>
      </c>
      <c r="E1421" s="6">
        <v>17389.3</v>
      </c>
      <c r="F1421" s="6">
        <f>D1421</f>
        <v>17952.8</v>
      </c>
      <c r="G1421" s="4"/>
      <c r="H1421" s="4">
        <f>-563.5</f>
        <v>-563.5</v>
      </c>
    </row>
    <row r="1422" spans="1:8" ht="33.75">
      <c r="A1422" s="4" t="s">
        <v>29</v>
      </c>
      <c r="B1422" s="5" t="s">
        <v>30</v>
      </c>
      <c r="C1422" s="5"/>
      <c r="D1422" s="4">
        <v>156602.83</v>
      </c>
      <c r="E1422" s="6">
        <v>155832.89</v>
      </c>
      <c r="F1422" s="6">
        <f>E1422</f>
        <v>155832.89</v>
      </c>
      <c r="G1422" s="4">
        <f>E1422-F1422</f>
        <v>0</v>
      </c>
      <c r="H1422" s="4">
        <f>-16464.34+2564-769.94</f>
        <v>-14670.28</v>
      </c>
    </row>
    <row r="1423" spans="1:8" ht="22.5">
      <c r="A1423" s="4" t="s">
        <v>31</v>
      </c>
      <c r="B1423" s="5" t="s">
        <v>32</v>
      </c>
      <c r="C1423" s="5"/>
      <c r="D1423" s="4"/>
      <c r="E1423" s="6"/>
      <c r="F1423" s="6"/>
      <c r="G1423" s="4"/>
      <c r="H1423" s="4"/>
    </row>
    <row r="1424" spans="1:8" ht="22.5">
      <c r="A1424" s="4" t="s">
        <v>33</v>
      </c>
      <c r="B1424" s="5" t="s">
        <v>34</v>
      </c>
      <c r="C1424" s="5"/>
      <c r="D1424" s="4">
        <v>507689.39</v>
      </c>
      <c r="E1424" s="6">
        <v>497040.34</v>
      </c>
      <c r="F1424" s="6">
        <f>E1424</f>
        <v>497040.34</v>
      </c>
      <c r="G1424" s="4">
        <f>E1424-F1424</f>
        <v>0</v>
      </c>
      <c r="H1424" s="4">
        <f>-112756.7-5478-10649.05</f>
        <v>-128883.75</v>
      </c>
    </row>
    <row r="1425" spans="1:8" ht="56.25">
      <c r="A1425" s="4"/>
      <c r="B1425" s="23" t="s">
        <v>389</v>
      </c>
      <c r="C1425" s="4">
        <v>5400</v>
      </c>
      <c r="D1425" s="4">
        <v>1800</v>
      </c>
      <c r="E1425" s="4">
        <v>1800</v>
      </c>
      <c r="F1425" s="4"/>
      <c r="G1425" s="4">
        <f>C1425+E1425</f>
        <v>7200</v>
      </c>
      <c r="H1425" s="4"/>
    </row>
    <row r="1426" spans="1:8" ht="12.75">
      <c r="A1426" s="4"/>
      <c r="B1426" s="4"/>
      <c r="C1426" s="4"/>
      <c r="D1426" s="4"/>
      <c r="E1426" s="4"/>
      <c r="F1426" s="4"/>
      <c r="G1426" s="4"/>
      <c r="H1426" s="4"/>
    </row>
    <row r="1429" ht="137.25" customHeight="1"/>
    <row r="1430" ht="12.75">
      <c r="A1430" t="s">
        <v>0</v>
      </c>
    </row>
    <row r="1431" ht="12.75">
      <c r="A1431" t="s">
        <v>291</v>
      </c>
    </row>
    <row r="1432" ht="12.75">
      <c r="A1432" t="s">
        <v>1</v>
      </c>
    </row>
    <row r="1433" ht="12.75">
      <c r="A1433" t="s">
        <v>416</v>
      </c>
    </row>
    <row r="1435" ht="12.75">
      <c r="A1435" t="s">
        <v>2</v>
      </c>
    </row>
    <row r="1437" ht="12.75">
      <c r="A1437" t="s">
        <v>72</v>
      </c>
    </row>
    <row r="1438" ht="12.75">
      <c r="A1438" t="s">
        <v>155</v>
      </c>
    </row>
    <row r="1439" ht="12.75">
      <c r="A1439" t="s">
        <v>4</v>
      </c>
    </row>
    <row r="1440" ht="12.75">
      <c r="A1440" t="s">
        <v>153</v>
      </c>
    </row>
    <row r="1441" ht="12.75">
      <c r="A1441" t="s">
        <v>156</v>
      </c>
    </row>
    <row r="1443" ht="12.75">
      <c r="A1443" t="s">
        <v>6</v>
      </c>
    </row>
    <row r="1444" ht="12.75">
      <c r="A1444" t="s">
        <v>7</v>
      </c>
    </row>
    <row r="1446" spans="1:8" ht="12.75">
      <c r="A1446" s="4" t="s">
        <v>8</v>
      </c>
      <c r="B1446" s="4" t="s">
        <v>13</v>
      </c>
      <c r="C1446" s="4" t="s">
        <v>9</v>
      </c>
      <c r="D1446" s="4" t="s">
        <v>10</v>
      </c>
      <c r="E1446" s="4" t="s">
        <v>15</v>
      </c>
      <c r="F1446" s="4" t="s">
        <v>16</v>
      </c>
      <c r="G1446" s="4" t="s">
        <v>9</v>
      </c>
      <c r="H1446" s="4" t="s">
        <v>11</v>
      </c>
    </row>
    <row r="1447" spans="1:8" ht="12.75">
      <c r="A1447" s="4"/>
      <c r="B1447" s="4"/>
      <c r="C1447" s="4" t="s">
        <v>417</v>
      </c>
      <c r="D1447" s="4" t="s">
        <v>418</v>
      </c>
      <c r="E1447" s="4" t="s">
        <v>14</v>
      </c>
      <c r="F1447" s="4" t="s">
        <v>17</v>
      </c>
      <c r="G1447" s="4" t="s">
        <v>420</v>
      </c>
      <c r="H1447" s="4" t="s">
        <v>12</v>
      </c>
    </row>
    <row r="1448" spans="1:8" ht="12.75">
      <c r="A1448" s="4"/>
      <c r="B1448" s="4"/>
      <c r="C1448" s="4"/>
      <c r="D1448" s="4"/>
      <c r="E1448" s="4" t="s">
        <v>419</v>
      </c>
      <c r="F1448" s="4" t="s">
        <v>419</v>
      </c>
      <c r="G1448" s="4"/>
      <c r="H1448" s="4" t="s">
        <v>421</v>
      </c>
    </row>
    <row r="1449" spans="1:8" ht="12.75">
      <c r="A1449" s="4"/>
      <c r="B1449" s="4"/>
      <c r="C1449" s="4"/>
      <c r="D1449" s="4"/>
      <c r="E1449" s="4"/>
      <c r="F1449" s="4"/>
      <c r="G1449" s="4"/>
      <c r="H1449" s="4"/>
    </row>
    <row r="1450" spans="1:8" ht="22.5">
      <c r="A1450" s="4">
        <v>1</v>
      </c>
      <c r="B1450" s="5" t="s">
        <v>18</v>
      </c>
      <c r="C1450" s="6"/>
      <c r="D1450" s="6">
        <v>225009.48</v>
      </c>
      <c r="E1450" s="6">
        <v>201764.23</v>
      </c>
      <c r="F1450" s="6">
        <f>D1450</f>
        <v>225009.48</v>
      </c>
      <c r="G1450" s="6"/>
      <c r="H1450" s="6">
        <f>-84089.57+1256-23245.25</f>
        <v>-106078.82</v>
      </c>
    </row>
    <row r="1451" spans="1:8" ht="12.75">
      <c r="A1451" s="4">
        <v>2</v>
      </c>
      <c r="B1451" s="5" t="s">
        <v>21</v>
      </c>
      <c r="C1451" s="8"/>
      <c r="D1451" s="6"/>
      <c r="E1451" s="6"/>
      <c r="F1451" s="6"/>
      <c r="G1451" s="6"/>
      <c r="H1451" s="6"/>
    </row>
    <row r="1452" spans="1:8" ht="12.75">
      <c r="A1452" s="4">
        <v>3</v>
      </c>
      <c r="B1452" s="5" t="s">
        <v>22</v>
      </c>
      <c r="C1452" s="8"/>
      <c r="D1452" s="6">
        <v>101618.64</v>
      </c>
      <c r="E1452" s="6">
        <v>89034.59</v>
      </c>
      <c r="F1452" s="6">
        <f>D1452</f>
        <v>101618.64</v>
      </c>
      <c r="G1452" s="6"/>
      <c r="H1452" s="6">
        <f>-27585.53+1254-12584.05</f>
        <v>-38915.58</v>
      </c>
    </row>
    <row r="1453" spans="1:8" ht="22.5">
      <c r="A1453" s="4">
        <v>4</v>
      </c>
      <c r="B1453" s="5" t="s">
        <v>23</v>
      </c>
      <c r="C1453" s="8"/>
      <c r="D1453" s="6"/>
      <c r="E1453" s="6"/>
      <c r="F1453" s="6"/>
      <c r="G1453" s="6"/>
      <c r="H1453" s="6"/>
    </row>
    <row r="1454" spans="1:8" ht="22.5">
      <c r="A1454" s="4">
        <v>5</v>
      </c>
      <c r="B1454" s="5" t="s">
        <v>24</v>
      </c>
      <c r="C1454" s="8">
        <v>134820.9</v>
      </c>
      <c r="D1454" s="6">
        <v>49111.2</v>
      </c>
      <c r="E1454" s="6">
        <f>'[1]текущий 2017'!$B$1973</f>
        <v>44639.63</v>
      </c>
      <c r="F1454" s="6">
        <f>'[1]текущий 2017'!$C$1974</f>
        <v>0</v>
      </c>
      <c r="G1454" s="6">
        <f>C1454+E1454-F1454</f>
        <v>179460.53</v>
      </c>
      <c r="H1454" s="6">
        <v>-27833.57</v>
      </c>
    </row>
    <row r="1455" spans="1:8" ht="22.5">
      <c r="A1455" s="4">
        <v>6</v>
      </c>
      <c r="B1455" s="5" t="s">
        <v>25</v>
      </c>
      <c r="C1455" s="8">
        <v>-14651.47</v>
      </c>
      <c r="D1455" s="6"/>
      <c r="E1455" s="6"/>
      <c r="F1455" s="6"/>
      <c r="G1455" s="6">
        <f>E1455+C1455</f>
        <v>-14651.47</v>
      </c>
      <c r="H1455" s="6">
        <v>-1556.91</v>
      </c>
    </row>
    <row r="1456" spans="1:8" ht="22.5">
      <c r="A1456" s="4">
        <v>7</v>
      </c>
      <c r="B1456" s="5" t="s">
        <v>26</v>
      </c>
      <c r="C1456" s="5">
        <f aca="true" t="shared" si="38" ref="C1456:H1456">C1457+C1458+C1459+C1460</f>
        <v>0</v>
      </c>
      <c r="D1456" s="5">
        <f t="shared" si="38"/>
        <v>1271342.34</v>
      </c>
      <c r="E1456" s="8">
        <f t="shared" si="38"/>
        <v>1117829.49</v>
      </c>
      <c r="F1456" s="8">
        <f t="shared" si="38"/>
        <v>1121421.13</v>
      </c>
      <c r="G1456" s="5">
        <f t="shared" si="38"/>
        <v>0</v>
      </c>
      <c r="H1456" s="5">
        <f t="shared" si="38"/>
        <v>-729272.12</v>
      </c>
    </row>
    <row r="1457" spans="1:8" ht="12.75">
      <c r="A1457" s="4" t="s">
        <v>27</v>
      </c>
      <c r="B1457" s="5" t="s">
        <v>28</v>
      </c>
      <c r="C1457" s="5"/>
      <c r="D1457" s="4">
        <v>26798.06</v>
      </c>
      <c r="E1457" s="6">
        <v>23206.42</v>
      </c>
      <c r="F1457" s="6">
        <f>D1457</f>
        <v>26798.06</v>
      </c>
      <c r="G1457" s="4"/>
      <c r="H1457" s="4">
        <f>-3591.64</f>
        <v>-3591.64</v>
      </c>
    </row>
    <row r="1458" spans="1:8" ht="33.75">
      <c r="A1458" s="4" t="s">
        <v>29</v>
      </c>
      <c r="B1458" s="5" t="s">
        <v>30</v>
      </c>
      <c r="C1458" s="5"/>
      <c r="D1458" s="4">
        <v>387362.76</v>
      </c>
      <c r="E1458" s="6">
        <v>327408.73</v>
      </c>
      <c r="F1458" s="6">
        <f>E1458</f>
        <v>327408.73</v>
      </c>
      <c r="G1458" s="4">
        <f>E1458-F1458</f>
        <v>0</v>
      </c>
      <c r="H1458" s="4">
        <f>-179680.05+9523-59954.03</f>
        <v>-230111.08</v>
      </c>
    </row>
    <row r="1459" spans="1:8" ht="22.5">
      <c r="A1459" s="4" t="s">
        <v>31</v>
      </c>
      <c r="B1459" s="5" t="s">
        <v>32</v>
      </c>
      <c r="C1459" s="5"/>
      <c r="D1459" s="4"/>
      <c r="E1459" s="6"/>
      <c r="F1459" s="6"/>
      <c r="G1459" s="4"/>
      <c r="H1459" s="4"/>
    </row>
    <row r="1460" spans="1:8" ht="22.5">
      <c r="A1460" s="4" t="s">
        <v>33</v>
      </c>
      <c r="B1460" s="5" t="s">
        <v>34</v>
      </c>
      <c r="C1460" s="5"/>
      <c r="D1460" s="4">
        <v>857181.52</v>
      </c>
      <c r="E1460" s="6">
        <v>767214.34</v>
      </c>
      <c r="F1460" s="6">
        <f>E1460</f>
        <v>767214.34</v>
      </c>
      <c r="G1460" s="4">
        <f>E1460-F1460</f>
        <v>0</v>
      </c>
      <c r="H1460" s="4">
        <f>-365346.22-40256-89967.18</f>
        <v>-495569.39999999997</v>
      </c>
    </row>
    <row r="1461" spans="1:8" ht="56.25">
      <c r="A1461" s="4"/>
      <c r="B1461" s="23" t="s">
        <v>389</v>
      </c>
      <c r="C1461" s="4">
        <v>5400</v>
      </c>
      <c r="D1461" s="4">
        <v>1800</v>
      </c>
      <c r="E1461" s="4">
        <v>1800</v>
      </c>
      <c r="F1461" s="4"/>
      <c r="G1461" s="4">
        <f>C1461+E1461</f>
        <v>7200</v>
      </c>
      <c r="H1461" s="4"/>
    </row>
    <row r="1462" spans="1:8" ht="12.75">
      <c r="A1462" s="4"/>
      <c r="B1462" s="4"/>
      <c r="C1462" s="4"/>
      <c r="D1462" s="4"/>
      <c r="E1462" s="4"/>
      <c r="F1462" s="4"/>
      <c r="G1462" s="4"/>
      <c r="H1462" s="4"/>
    </row>
    <row r="1465" ht="138" customHeight="1"/>
    <row r="1466" ht="12.75">
      <c r="A1466" t="s">
        <v>0</v>
      </c>
    </row>
    <row r="1467" ht="12.75">
      <c r="A1467" t="s">
        <v>291</v>
      </c>
    </row>
    <row r="1468" ht="12.75">
      <c r="A1468" t="s">
        <v>1</v>
      </c>
    </row>
    <row r="1469" ht="12.75">
      <c r="A1469" t="s">
        <v>416</v>
      </c>
    </row>
    <row r="1471" ht="12.75">
      <c r="A1471" t="s">
        <v>2</v>
      </c>
    </row>
    <row r="1473" ht="12.75">
      <c r="A1473" t="s">
        <v>73</v>
      </c>
    </row>
    <row r="1474" ht="12.75">
      <c r="A1474" t="s">
        <v>157</v>
      </c>
    </row>
    <row r="1475" ht="12.75">
      <c r="A1475" t="s">
        <v>4</v>
      </c>
    </row>
    <row r="1476" ht="12.75">
      <c r="A1476" t="s">
        <v>158</v>
      </c>
    </row>
    <row r="1477" ht="12.75">
      <c r="A1477" t="s">
        <v>5</v>
      </c>
    </row>
    <row r="1479" ht="12.75">
      <c r="A1479" t="s">
        <v>6</v>
      </c>
    </row>
    <row r="1480" ht="12.75">
      <c r="A1480" t="s">
        <v>7</v>
      </c>
    </row>
    <row r="1482" spans="1:8" ht="12.75">
      <c r="A1482" s="4" t="s">
        <v>8</v>
      </c>
      <c r="B1482" s="4" t="s">
        <v>13</v>
      </c>
      <c r="C1482" s="4" t="s">
        <v>9</v>
      </c>
      <c r="D1482" s="4" t="s">
        <v>10</v>
      </c>
      <c r="E1482" s="4" t="s">
        <v>15</v>
      </c>
      <c r="F1482" s="4" t="s">
        <v>16</v>
      </c>
      <c r="G1482" s="4" t="s">
        <v>9</v>
      </c>
      <c r="H1482" s="4" t="s">
        <v>11</v>
      </c>
    </row>
    <row r="1483" spans="1:8" ht="12.75">
      <c r="A1483" s="4"/>
      <c r="B1483" s="4"/>
      <c r="C1483" s="4" t="s">
        <v>417</v>
      </c>
      <c r="D1483" s="4" t="s">
        <v>418</v>
      </c>
      <c r="E1483" s="4" t="s">
        <v>14</v>
      </c>
      <c r="F1483" s="4" t="s">
        <v>17</v>
      </c>
      <c r="G1483" s="4" t="s">
        <v>420</v>
      </c>
      <c r="H1483" s="4" t="s">
        <v>12</v>
      </c>
    </row>
    <row r="1484" spans="1:8" ht="12.75">
      <c r="A1484" s="4"/>
      <c r="B1484" s="4"/>
      <c r="C1484" s="4"/>
      <c r="D1484" s="4"/>
      <c r="E1484" s="4" t="s">
        <v>419</v>
      </c>
      <c r="F1484" s="4" t="s">
        <v>419</v>
      </c>
      <c r="G1484" s="4"/>
      <c r="H1484" s="4" t="s">
        <v>421</v>
      </c>
    </row>
    <row r="1485" spans="1:8" ht="12.75">
      <c r="A1485" s="4"/>
      <c r="B1485" s="4"/>
      <c r="C1485" s="4"/>
      <c r="D1485" s="4"/>
      <c r="E1485" s="4"/>
      <c r="F1485" s="4"/>
      <c r="G1485" s="4"/>
      <c r="H1485" s="4"/>
    </row>
    <row r="1486" spans="1:8" ht="22.5">
      <c r="A1486" s="4">
        <v>1</v>
      </c>
      <c r="B1486" s="5" t="s">
        <v>18</v>
      </c>
      <c r="C1486" s="6"/>
      <c r="D1486" s="6">
        <v>16464.36</v>
      </c>
      <c r="E1486" s="6">
        <v>16124.16</v>
      </c>
      <c r="F1486" s="6">
        <f>D1486</f>
        <v>16464.36</v>
      </c>
      <c r="G1486" s="6"/>
      <c r="H1486" s="6">
        <f>-970.5+102-336.2</f>
        <v>-1204.7</v>
      </c>
    </row>
    <row r="1487" spans="1:8" ht="12.75">
      <c r="A1487" s="4">
        <v>3</v>
      </c>
      <c r="B1487" s="5" t="s">
        <v>21</v>
      </c>
      <c r="C1487" s="8"/>
      <c r="D1487" s="6"/>
      <c r="E1487" s="6"/>
      <c r="F1487" s="6"/>
      <c r="G1487" s="6"/>
      <c r="H1487" s="6"/>
    </row>
    <row r="1488" spans="1:8" ht="12.75">
      <c r="A1488" s="4">
        <v>4</v>
      </c>
      <c r="B1488" s="5" t="s">
        <v>22</v>
      </c>
      <c r="C1488" s="8"/>
      <c r="D1488" s="6">
        <v>7827.42</v>
      </c>
      <c r="E1488" s="6">
        <v>7537.31</v>
      </c>
      <c r="F1488" s="6">
        <f>D1488</f>
        <v>7827.42</v>
      </c>
      <c r="G1488" s="6"/>
      <c r="H1488" s="6">
        <f>-320.15+99-290.11</f>
        <v>-511.26</v>
      </c>
    </row>
    <row r="1489" spans="1:8" ht="22.5">
      <c r="A1489" s="4">
        <v>5</v>
      </c>
      <c r="B1489" s="5" t="s">
        <v>23</v>
      </c>
      <c r="C1489" s="8"/>
      <c r="D1489" s="6"/>
      <c r="E1489" s="6"/>
      <c r="F1489" s="6"/>
      <c r="G1489" s="6"/>
      <c r="H1489" s="6"/>
    </row>
    <row r="1490" spans="1:8" ht="22.5">
      <c r="A1490" s="4">
        <v>6</v>
      </c>
      <c r="B1490" s="5" t="s">
        <v>24</v>
      </c>
      <c r="C1490" s="8">
        <v>27152.37</v>
      </c>
      <c r="D1490" s="6">
        <v>3422.28</v>
      </c>
      <c r="E1490" s="6">
        <f>'[1]текущий 2017'!$B$2024</f>
        <v>3523.47</v>
      </c>
      <c r="F1490" s="6"/>
      <c r="G1490" s="6">
        <f>C1490+E1490-F1490</f>
        <v>30675.84</v>
      </c>
      <c r="H1490" s="6">
        <v>-325.03</v>
      </c>
    </row>
    <row r="1491" spans="1:8" ht="22.5">
      <c r="A1491" s="4">
        <v>7</v>
      </c>
      <c r="B1491" s="5" t="s">
        <v>25</v>
      </c>
      <c r="C1491" s="8">
        <v>10413.01</v>
      </c>
      <c r="D1491" s="6"/>
      <c r="E1491" s="6"/>
      <c r="F1491" s="6"/>
      <c r="G1491" s="6">
        <v>10413.01</v>
      </c>
      <c r="H1491" s="6">
        <v>57.1</v>
      </c>
    </row>
    <row r="1492" spans="1:8" ht="22.5">
      <c r="A1492" s="4">
        <v>8</v>
      </c>
      <c r="B1492" s="5" t="s">
        <v>26</v>
      </c>
      <c r="C1492" s="5">
        <f aca="true" t="shared" si="39" ref="C1492:H1492">C1493+C1494+C1495+C1496</f>
        <v>0</v>
      </c>
      <c r="D1492" s="5">
        <f t="shared" si="39"/>
        <v>21336.84</v>
      </c>
      <c r="E1492" s="8">
        <f t="shared" si="39"/>
        <v>19173.78</v>
      </c>
      <c r="F1492" s="8">
        <f t="shared" si="39"/>
        <v>19173.78</v>
      </c>
      <c r="G1492" s="5">
        <f t="shared" si="39"/>
        <v>0</v>
      </c>
      <c r="H1492" s="5">
        <f t="shared" si="39"/>
        <v>-2163.06</v>
      </c>
    </row>
    <row r="1493" spans="1:8" ht="12.75">
      <c r="A1493" s="4" t="s">
        <v>368</v>
      </c>
      <c r="B1493" s="5" t="s">
        <v>28</v>
      </c>
      <c r="C1493" s="5"/>
      <c r="D1493" s="4"/>
      <c r="E1493" s="6"/>
      <c r="F1493" s="6"/>
      <c r="G1493" s="4"/>
      <c r="H1493" s="4"/>
    </row>
    <row r="1494" spans="1:8" ht="33.75">
      <c r="A1494" s="4" t="s">
        <v>369</v>
      </c>
      <c r="B1494" s="5" t="s">
        <v>30</v>
      </c>
      <c r="C1494" s="5"/>
      <c r="D1494" s="4">
        <v>21336.84</v>
      </c>
      <c r="E1494" s="6">
        <v>19173.78</v>
      </c>
      <c r="F1494" s="6">
        <f>E1494</f>
        <v>19173.78</v>
      </c>
      <c r="G1494" s="4">
        <f>E1494-F1494</f>
        <v>0</v>
      </c>
      <c r="H1494" s="4">
        <f>-2163.06</f>
        <v>-2163.06</v>
      </c>
    </row>
    <row r="1495" spans="1:8" ht="22.5">
      <c r="A1495" s="4" t="s">
        <v>370</v>
      </c>
      <c r="B1495" s="5" t="s">
        <v>32</v>
      </c>
      <c r="C1495" s="5"/>
      <c r="D1495" s="4"/>
      <c r="E1495" s="6"/>
      <c r="F1495" s="6"/>
      <c r="G1495" s="4"/>
      <c r="H1495" s="4"/>
    </row>
    <row r="1496" spans="1:8" ht="22.5">
      <c r="A1496" s="4" t="s">
        <v>371</v>
      </c>
      <c r="B1496" s="5" t="s">
        <v>34</v>
      </c>
      <c r="C1496" s="5"/>
      <c r="D1496" s="4"/>
      <c r="E1496" s="6"/>
      <c r="F1496" s="6"/>
      <c r="G1496" s="4"/>
      <c r="H1496" s="4"/>
    </row>
    <row r="1497" spans="1:8" ht="12.75">
      <c r="A1497" s="4"/>
      <c r="B1497" s="4"/>
      <c r="C1497" s="4"/>
      <c r="D1497" s="4"/>
      <c r="E1497" s="4"/>
      <c r="F1497" s="4"/>
      <c r="G1497" s="4"/>
      <c r="H1497" s="4"/>
    </row>
    <row r="1498" spans="1:8" ht="12.75">
      <c r="A1498" s="4"/>
      <c r="B1498" s="4"/>
      <c r="C1498" s="4"/>
      <c r="D1498" s="4"/>
      <c r="E1498" s="4"/>
      <c r="F1498" s="4"/>
      <c r="G1498" s="4"/>
      <c r="H1498" s="4"/>
    </row>
    <row r="1504" ht="138" customHeight="1"/>
    <row r="1505" ht="11.25" customHeight="1">
      <c r="A1505" t="s">
        <v>0</v>
      </c>
    </row>
    <row r="1506" ht="12.75" hidden="1">
      <c r="A1506" t="s">
        <v>291</v>
      </c>
    </row>
    <row r="1507" ht="12.75">
      <c r="A1507" t="s">
        <v>1</v>
      </c>
    </row>
    <row r="1508" ht="12.75">
      <c r="A1508" t="s">
        <v>416</v>
      </c>
    </row>
    <row r="1509" ht="12.75">
      <c r="A1509" t="s">
        <v>2</v>
      </c>
    </row>
    <row r="1511" ht="12.75">
      <c r="A1511" t="s">
        <v>159</v>
      </c>
    </row>
    <row r="1512" ht="12.75">
      <c r="A1512" t="s">
        <v>166</v>
      </c>
    </row>
    <row r="1513" ht="12.75">
      <c r="A1513" t="s">
        <v>4</v>
      </c>
    </row>
    <row r="1514" ht="12.75">
      <c r="A1514" t="s">
        <v>160</v>
      </c>
    </row>
    <row r="1515" ht="12.75">
      <c r="A1515" t="s">
        <v>5</v>
      </c>
    </row>
    <row r="1517" ht="12.75">
      <c r="A1517" t="s">
        <v>6</v>
      </c>
    </row>
    <row r="1518" ht="12.75">
      <c r="A1518" t="s">
        <v>7</v>
      </c>
    </row>
    <row r="1520" spans="1:8" ht="12.75">
      <c r="A1520" s="4" t="s">
        <v>8</v>
      </c>
      <c r="B1520" s="4" t="s">
        <v>13</v>
      </c>
      <c r="C1520" s="4" t="s">
        <v>9</v>
      </c>
      <c r="D1520" s="4" t="s">
        <v>10</v>
      </c>
      <c r="E1520" s="4" t="s">
        <v>15</v>
      </c>
      <c r="F1520" s="4" t="s">
        <v>16</v>
      </c>
      <c r="G1520" s="4" t="s">
        <v>9</v>
      </c>
      <c r="H1520" s="4" t="s">
        <v>11</v>
      </c>
    </row>
    <row r="1521" spans="1:8" ht="12.75">
      <c r="A1521" s="4"/>
      <c r="B1521" s="4"/>
      <c r="C1521" s="4" t="s">
        <v>417</v>
      </c>
      <c r="D1521" s="4" t="s">
        <v>418</v>
      </c>
      <c r="E1521" s="4" t="s">
        <v>14</v>
      </c>
      <c r="F1521" s="4" t="s">
        <v>17</v>
      </c>
      <c r="G1521" s="4" t="s">
        <v>420</v>
      </c>
      <c r="H1521" s="4" t="s">
        <v>12</v>
      </c>
    </row>
    <row r="1522" spans="1:8" ht="12.75">
      <c r="A1522" s="4"/>
      <c r="B1522" s="4"/>
      <c r="C1522" s="4"/>
      <c r="D1522" s="4"/>
      <c r="E1522" s="4" t="s">
        <v>419</v>
      </c>
      <c r="F1522" s="4" t="s">
        <v>419</v>
      </c>
      <c r="G1522" s="4"/>
      <c r="H1522" s="4" t="s">
        <v>421</v>
      </c>
    </row>
    <row r="1523" spans="1:8" ht="12.75">
      <c r="A1523" s="4"/>
      <c r="B1523" s="4"/>
      <c r="C1523" s="4"/>
      <c r="D1523" s="4"/>
      <c r="E1523" s="4"/>
      <c r="F1523" s="4"/>
      <c r="G1523" s="4"/>
      <c r="H1523" s="4"/>
    </row>
    <row r="1524" spans="1:8" ht="22.5">
      <c r="A1524" s="4">
        <v>1</v>
      </c>
      <c r="B1524" s="5" t="s">
        <v>18</v>
      </c>
      <c r="C1524" s="6"/>
      <c r="D1524" s="6">
        <v>240496.63</v>
      </c>
      <c r="E1524" s="6">
        <v>236025.36</v>
      </c>
      <c r="F1524" s="6">
        <f>D1524</f>
        <v>240496.63</v>
      </c>
      <c r="G1524" s="6"/>
      <c r="H1524" s="6">
        <f>-39624.74+6895-4471.27</f>
        <v>-37201.009999999995</v>
      </c>
    </row>
    <row r="1525" spans="1:8" ht="12.75">
      <c r="A1525" s="4">
        <v>2</v>
      </c>
      <c r="B1525" s="5" t="s">
        <v>21</v>
      </c>
      <c r="C1525" s="8"/>
      <c r="D1525" s="6"/>
      <c r="E1525" s="6"/>
      <c r="F1525" s="6"/>
      <c r="G1525" s="6"/>
      <c r="H1525" s="6"/>
    </row>
    <row r="1526" spans="1:8" ht="12.75">
      <c r="A1526" s="4">
        <v>3</v>
      </c>
      <c r="B1526" s="5" t="s">
        <v>22</v>
      </c>
      <c r="C1526" s="8"/>
      <c r="D1526" s="6">
        <v>96907.62</v>
      </c>
      <c r="E1526" s="6">
        <v>91649.07</v>
      </c>
      <c r="F1526" s="6">
        <f>D1526</f>
        <v>96907.62</v>
      </c>
      <c r="G1526" s="6"/>
      <c r="H1526" s="6">
        <f>-9580+4125-5258.55</f>
        <v>-10713.55</v>
      </c>
    </row>
    <row r="1527" spans="1:8" ht="22.5">
      <c r="A1527" s="4">
        <v>4</v>
      </c>
      <c r="B1527" s="5" t="s">
        <v>23</v>
      </c>
      <c r="C1527" s="8"/>
      <c r="D1527" s="6"/>
      <c r="E1527" s="6"/>
      <c r="F1527" s="6"/>
      <c r="G1527" s="6"/>
      <c r="H1527" s="6"/>
    </row>
    <row r="1528" spans="1:8" ht="22.5">
      <c r="A1528" s="4">
        <v>5</v>
      </c>
      <c r="B1528" s="5" t="s">
        <v>24</v>
      </c>
      <c r="C1528" s="8">
        <v>7275.34</v>
      </c>
      <c r="D1528" s="6">
        <v>52103.04</v>
      </c>
      <c r="E1528" s="6">
        <f>'[1]текущий 2017'!$B$2075</f>
        <v>57725.22</v>
      </c>
      <c r="F1528" s="6">
        <f>'[1]текущий 2017'!$C$2076</f>
        <v>12883.999999999998</v>
      </c>
      <c r="G1528" s="6">
        <f>E1528-F1528+C1528</f>
        <v>52116.56</v>
      </c>
      <c r="H1528" s="6">
        <v>-12580.95</v>
      </c>
    </row>
    <row r="1529" spans="1:8" ht="22.5">
      <c r="A1529" s="4">
        <v>6</v>
      </c>
      <c r="B1529" s="5" t="s">
        <v>25</v>
      </c>
      <c r="C1529" s="8">
        <v>18371.82</v>
      </c>
      <c r="D1529" s="6"/>
      <c r="E1529" s="6"/>
      <c r="F1529" s="6"/>
      <c r="G1529" s="6">
        <v>18371.82</v>
      </c>
      <c r="H1529" s="6">
        <v>-5178.22</v>
      </c>
    </row>
    <row r="1530" spans="1:8" ht="22.5">
      <c r="A1530" s="7">
        <v>6.1</v>
      </c>
      <c r="B1530" s="5" t="s">
        <v>391</v>
      </c>
      <c r="C1530" s="8">
        <v>94216</v>
      </c>
      <c r="D1530" s="6"/>
      <c r="E1530" s="6"/>
      <c r="F1530" s="6"/>
      <c r="G1530" s="6"/>
      <c r="H1530" s="6"/>
    </row>
    <row r="1531" spans="1:8" ht="22.5">
      <c r="A1531" s="4">
        <v>7</v>
      </c>
      <c r="B1531" s="5" t="s">
        <v>26</v>
      </c>
      <c r="C1531" s="5">
        <f>C1532+C1533+C1534+C1535</f>
        <v>0</v>
      </c>
      <c r="D1531" s="5">
        <f>D1532+D1533+D1534+D1535</f>
        <v>1120506.41</v>
      </c>
      <c r="E1531" s="8">
        <f>E1532+E1533+E1534+E1535</f>
        <v>1086402.81</v>
      </c>
      <c r="F1531" s="8">
        <f>F1532+F1533+F1534+F1535</f>
        <v>1089158.56</v>
      </c>
      <c r="G1531" s="5">
        <f>G1532+G1533+G1534+G1535</f>
        <v>0</v>
      </c>
      <c r="H1531" s="5">
        <f>H1533+H1534+H1535</f>
        <v>-435582.15</v>
      </c>
    </row>
    <row r="1532" spans="1:8" ht="12.75">
      <c r="A1532" s="4" t="s">
        <v>27</v>
      </c>
      <c r="B1532" s="5" t="s">
        <v>28</v>
      </c>
      <c r="C1532" s="5"/>
      <c r="D1532" s="4">
        <v>42379.43</v>
      </c>
      <c r="E1532" s="6">
        <v>39623.68</v>
      </c>
      <c r="F1532" s="6">
        <f>D1532</f>
        <v>42379.43</v>
      </c>
      <c r="G1532" s="4"/>
      <c r="H1532" s="4">
        <f>-2755.75</f>
        <v>-2755.75</v>
      </c>
    </row>
    <row r="1533" spans="1:8" ht="33.75">
      <c r="A1533" s="4" t="s">
        <v>29</v>
      </c>
      <c r="B1533" s="5" t="s">
        <v>30</v>
      </c>
      <c r="C1533" s="5"/>
      <c r="D1533" s="4">
        <v>178530.2</v>
      </c>
      <c r="E1533" s="6">
        <v>171453.4</v>
      </c>
      <c r="F1533" s="6">
        <f>E1533</f>
        <v>171453.4</v>
      </c>
      <c r="G1533" s="4">
        <f>E1533-F1533</f>
        <v>0</v>
      </c>
      <c r="H1533" s="4">
        <f>-30857.32-400-7076.8</f>
        <v>-38334.12</v>
      </c>
    </row>
    <row r="1534" spans="1:8" ht="22.5">
      <c r="A1534" s="4" t="s">
        <v>31</v>
      </c>
      <c r="B1534" s="5" t="s">
        <v>32</v>
      </c>
      <c r="C1534" s="5"/>
      <c r="D1534" s="4">
        <v>302924.81</v>
      </c>
      <c r="E1534" s="6">
        <v>289482.49</v>
      </c>
      <c r="F1534" s="6">
        <f>E1534</f>
        <v>289482.49</v>
      </c>
      <c r="G1534" s="4"/>
      <c r="H1534" s="4">
        <f>-57200.02-20700-13442.32</f>
        <v>-91342.34</v>
      </c>
    </row>
    <row r="1535" spans="1:8" ht="22.5">
      <c r="A1535" s="4" t="s">
        <v>33</v>
      </c>
      <c r="B1535" s="5" t="s">
        <v>34</v>
      </c>
      <c r="C1535" s="5"/>
      <c r="D1535" s="4">
        <v>596671.97</v>
      </c>
      <c r="E1535" s="6">
        <v>585843.24</v>
      </c>
      <c r="F1535" s="6">
        <f>E1535</f>
        <v>585843.24</v>
      </c>
      <c r="G1535" s="4">
        <f>E1535-F1535</f>
        <v>0</v>
      </c>
      <c r="H1535" s="4">
        <f>-292513.96-2563-10828.73</f>
        <v>-305905.69</v>
      </c>
    </row>
    <row r="1536" spans="1:8" ht="56.25">
      <c r="A1536" s="4"/>
      <c r="B1536" s="23" t="s">
        <v>389</v>
      </c>
      <c r="C1536" s="4">
        <v>21600</v>
      </c>
      <c r="D1536" s="4">
        <v>7200</v>
      </c>
      <c r="E1536" s="4">
        <v>7200</v>
      </c>
      <c r="F1536" s="4"/>
      <c r="G1536" s="4">
        <f>C1536+E1536</f>
        <v>28800</v>
      </c>
      <c r="H1536" s="4"/>
    </row>
    <row r="1537" spans="1:8" ht="12.75">
      <c r="A1537" s="4"/>
      <c r="B1537" s="4"/>
      <c r="C1537" s="4"/>
      <c r="D1537" s="4"/>
      <c r="E1537" s="4"/>
      <c r="F1537" s="4"/>
      <c r="G1537" s="4"/>
      <c r="H1537" s="4"/>
    </row>
    <row r="1542" ht="114" customHeight="1"/>
    <row r="1543" ht="12.75">
      <c r="A1543" t="s">
        <v>0</v>
      </c>
    </row>
    <row r="1544" ht="24.75" customHeight="1">
      <c r="A1544" t="s">
        <v>291</v>
      </c>
    </row>
    <row r="1545" ht="12.75">
      <c r="A1545" t="s">
        <v>1</v>
      </c>
    </row>
    <row r="1546" ht="12.75">
      <c r="A1546" t="s">
        <v>416</v>
      </c>
    </row>
    <row r="1548" ht="12.75">
      <c r="A1548" t="s">
        <v>2</v>
      </c>
    </row>
    <row r="1550" ht="12.75">
      <c r="A1550" t="s">
        <v>161</v>
      </c>
    </row>
    <row r="1551" ht="12.75">
      <c r="A1551" t="s">
        <v>162</v>
      </c>
    </row>
    <row r="1552" ht="12.75">
      <c r="A1552" t="s">
        <v>4</v>
      </c>
    </row>
    <row r="1553" ht="12.75">
      <c r="A1553" t="s">
        <v>163</v>
      </c>
    </row>
    <row r="1554" ht="12.75">
      <c r="A1554" t="s">
        <v>164</v>
      </c>
    </row>
    <row r="1556" ht="12.75">
      <c r="A1556" t="s">
        <v>6</v>
      </c>
    </row>
    <row r="1557" ht="12.75">
      <c r="A1557" t="s">
        <v>7</v>
      </c>
    </row>
    <row r="1559" spans="1:8" ht="12.75">
      <c r="A1559" s="4" t="s">
        <v>8</v>
      </c>
      <c r="B1559" s="4" t="s">
        <v>13</v>
      </c>
      <c r="C1559" s="4" t="s">
        <v>9</v>
      </c>
      <c r="D1559" s="4" t="s">
        <v>10</v>
      </c>
      <c r="E1559" s="4" t="s">
        <v>15</v>
      </c>
      <c r="F1559" s="4" t="s">
        <v>16</v>
      </c>
      <c r="G1559" s="4" t="s">
        <v>9</v>
      </c>
      <c r="H1559" s="4" t="s">
        <v>11</v>
      </c>
    </row>
    <row r="1560" spans="1:8" ht="12.75">
      <c r="A1560" s="4"/>
      <c r="B1560" s="4"/>
      <c r="C1560" s="4" t="s">
        <v>417</v>
      </c>
      <c r="D1560" s="4" t="s">
        <v>418</v>
      </c>
      <c r="E1560" s="4" t="s">
        <v>14</v>
      </c>
      <c r="F1560" s="4" t="s">
        <v>17</v>
      </c>
      <c r="G1560" s="4" t="s">
        <v>420</v>
      </c>
      <c r="H1560" s="4" t="s">
        <v>12</v>
      </c>
    </row>
    <row r="1561" spans="1:8" ht="12.75">
      <c r="A1561" s="4"/>
      <c r="B1561" s="4"/>
      <c r="C1561" s="4"/>
      <c r="D1561" s="4"/>
      <c r="E1561" s="4" t="s">
        <v>419</v>
      </c>
      <c r="F1561" s="4" t="s">
        <v>419</v>
      </c>
      <c r="G1561" s="4"/>
      <c r="H1561" s="4" t="s">
        <v>421</v>
      </c>
    </row>
    <row r="1562" spans="1:8" ht="12.75">
      <c r="A1562" s="4"/>
      <c r="B1562" s="4"/>
      <c r="C1562" s="4"/>
      <c r="D1562" s="4"/>
      <c r="E1562" s="4"/>
      <c r="F1562" s="4"/>
      <c r="G1562" s="4"/>
      <c r="H1562" s="4"/>
    </row>
    <row r="1563" spans="1:8" ht="22.5">
      <c r="A1563" s="4">
        <v>1</v>
      </c>
      <c r="B1563" s="5" t="s">
        <v>18</v>
      </c>
      <c r="C1563" s="6"/>
      <c r="D1563" s="6">
        <v>131253.24</v>
      </c>
      <c r="E1563" s="6">
        <v>128180.18</v>
      </c>
      <c r="F1563" s="6">
        <f>D1563</f>
        <v>131253.24</v>
      </c>
      <c r="G1563" s="6"/>
      <c r="H1563" s="6">
        <f>-19619.26-2563-3073.06</f>
        <v>-25255.32</v>
      </c>
    </row>
    <row r="1564" spans="1:8" ht="12.75">
      <c r="A1564" s="4">
        <v>2</v>
      </c>
      <c r="B1564" s="5" t="s">
        <v>21</v>
      </c>
      <c r="C1564" s="8"/>
      <c r="D1564" s="6"/>
      <c r="E1564" s="6"/>
      <c r="F1564" s="6"/>
      <c r="G1564" s="6"/>
      <c r="H1564" s="6"/>
    </row>
    <row r="1565" spans="1:8" ht="12.75">
      <c r="A1565" s="4">
        <v>3</v>
      </c>
      <c r="B1565" s="5" t="s">
        <v>22</v>
      </c>
      <c r="C1565" s="8"/>
      <c r="D1565" s="6">
        <v>58769.07</v>
      </c>
      <c r="E1565" s="6">
        <v>57002.64</v>
      </c>
      <c r="F1565" s="6">
        <f>D1565</f>
        <v>58769.07</v>
      </c>
      <c r="G1565" s="6"/>
      <c r="H1565" s="6">
        <f>-6618.86-1152-1766.43</f>
        <v>-9537.289999999999</v>
      </c>
    </row>
    <row r="1566" spans="1:8" ht="22.5">
      <c r="A1566" s="4">
        <v>4</v>
      </c>
      <c r="B1566" s="5" t="s">
        <v>23</v>
      </c>
      <c r="C1566" s="8"/>
      <c r="D1566" s="6"/>
      <c r="E1566" s="6"/>
      <c r="F1566" s="6"/>
      <c r="G1566" s="6"/>
      <c r="H1566" s="6"/>
    </row>
    <row r="1567" spans="1:8" ht="22.5">
      <c r="A1567" s="4">
        <v>5</v>
      </c>
      <c r="B1567" s="5" t="s">
        <v>24</v>
      </c>
      <c r="C1567" s="8">
        <v>67772.06</v>
      </c>
      <c r="D1567" s="6">
        <v>28647.96</v>
      </c>
      <c r="E1567" s="6">
        <f>'[1]текущий 2017'!$B$2126</f>
        <v>29816.81</v>
      </c>
      <c r="F1567" s="6">
        <f>'[1]текущий 2017'!$C$2127</f>
        <v>5407.889999999999</v>
      </c>
      <c r="G1567" s="6">
        <f>C1567+E1567-F1567</f>
        <v>92180.98</v>
      </c>
      <c r="H1567" s="6">
        <v>-7513.68</v>
      </c>
    </row>
    <row r="1568" spans="1:8" ht="22.5">
      <c r="A1568" s="4">
        <v>6</v>
      </c>
      <c r="B1568" s="5" t="s">
        <v>25</v>
      </c>
      <c r="C1568" s="8">
        <v>36636.68</v>
      </c>
      <c r="D1568" s="6"/>
      <c r="E1568" s="6"/>
      <c r="F1568" s="6"/>
      <c r="G1568" s="6">
        <v>36636.68</v>
      </c>
      <c r="H1568" s="6">
        <v>-4126.65</v>
      </c>
    </row>
    <row r="1569" spans="1:8" ht="22.5">
      <c r="A1569" s="4">
        <v>6.1</v>
      </c>
      <c r="B1569" s="5" t="s">
        <v>391</v>
      </c>
      <c r="C1569" s="8">
        <v>55752</v>
      </c>
      <c r="D1569" s="6"/>
      <c r="E1569" s="6"/>
      <c r="F1569" s="6"/>
      <c r="G1569" s="6"/>
      <c r="H1569" s="6"/>
    </row>
    <row r="1570" spans="1:8" ht="22.5">
      <c r="A1570" s="4">
        <v>7</v>
      </c>
      <c r="B1570" s="5" t="s">
        <v>26</v>
      </c>
      <c r="C1570" s="5">
        <f aca="true" t="shared" si="40" ref="C1570:H1570">C1571+C1572+C1573+C1574</f>
        <v>0</v>
      </c>
      <c r="D1570" s="5">
        <f t="shared" si="40"/>
        <v>721805.24</v>
      </c>
      <c r="E1570" s="8">
        <f t="shared" si="40"/>
        <v>711789.3400000001</v>
      </c>
      <c r="F1570" s="8">
        <f t="shared" si="40"/>
        <v>711947.02</v>
      </c>
      <c r="G1570" s="5">
        <f t="shared" si="40"/>
        <v>0</v>
      </c>
      <c r="H1570" s="5">
        <f t="shared" si="40"/>
        <v>-178245.84</v>
      </c>
    </row>
    <row r="1571" spans="1:8" ht="12.75">
      <c r="A1571" s="4" t="s">
        <v>27</v>
      </c>
      <c r="B1571" s="5" t="s">
        <v>28</v>
      </c>
      <c r="C1571" s="5"/>
      <c r="D1571" s="4">
        <v>6826.1</v>
      </c>
      <c r="E1571" s="6">
        <v>6668.42</v>
      </c>
      <c r="F1571" s="6">
        <f>D1571</f>
        <v>6826.1</v>
      </c>
      <c r="G1571" s="4"/>
      <c r="H1571" s="4">
        <f>-157.68</f>
        <v>-157.68</v>
      </c>
    </row>
    <row r="1572" spans="1:8" ht="33.75">
      <c r="A1572" s="4" t="s">
        <v>29</v>
      </c>
      <c r="B1572" s="5" t="s">
        <v>30</v>
      </c>
      <c r="C1572" s="5"/>
      <c r="D1572" s="4">
        <v>207219.47</v>
      </c>
      <c r="E1572" s="6">
        <v>205073.48</v>
      </c>
      <c r="F1572" s="6">
        <f>E1572</f>
        <v>205073.48</v>
      </c>
      <c r="G1572" s="4">
        <f>E1572-F1572</f>
        <v>0</v>
      </c>
      <c r="H1572" s="4">
        <f>-44716.35-9566-2145.99</f>
        <v>-56428.34</v>
      </c>
    </row>
    <row r="1573" spans="1:8" ht="22.5">
      <c r="A1573" s="4" t="s">
        <v>31</v>
      </c>
      <c r="B1573" s="5" t="s">
        <v>32</v>
      </c>
      <c r="C1573" s="5"/>
      <c r="D1573" s="4"/>
      <c r="E1573" s="6"/>
      <c r="F1573" s="6"/>
      <c r="G1573" s="4"/>
      <c r="H1573" s="4"/>
    </row>
    <row r="1574" spans="1:8" ht="22.5">
      <c r="A1574" s="4" t="s">
        <v>33</v>
      </c>
      <c r="B1574" s="5" t="s">
        <v>34</v>
      </c>
      <c r="C1574" s="5"/>
      <c r="D1574" s="4">
        <v>507759.67</v>
      </c>
      <c r="E1574" s="6">
        <v>500047.44</v>
      </c>
      <c r="F1574" s="6">
        <f>E1574</f>
        <v>500047.44</v>
      </c>
      <c r="G1574" s="4">
        <f>E1574-F1574</f>
        <v>0</v>
      </c>
      <c r="H1574" s="4">
        <f>-100405.59-13542-7712.23</f>
        <v>-121659.81999999999</v>
      </c>
    </row>
    <row r="1575" spans="1:8" ht="56.25">
      <c r="A1575" s="4"/>
      <c r="B1575" s="23" t="s">
        <v>389</v>
      </c>
      <c r="C1575" s="4">
        <v>5400</v>
      </c>
      <c r="D1575" s="4">
        <v>1800</v>
      </c>
      <c r="E1575" s="4">
        <v>1800</v>
      </c>
      <c r="F1575" s="4"/>
      <c r="G1575" s="4">
        <f>C1575+E1575</f>
        <v>7200</v>
      </c>
      <c r="H1575" s="4"/>
    </row>
    <row r="1576" spans="1:8" ht="12.75">
      <c r="A1576" s="4"/>
      <c r="B1576" s="4"/>
      <c r="C1576" s="4"/>
      <c r="D1576" s="4"/>
      <c r="E1576" s="4"/>
      <c r="F1576" s="4"/>
      <c r="G1576" s="4"/>
      <c r="H1576" s="4"/>
    </row>
    <row r="1578" ht="115.5" customHeight="1"/>
    <row r="1579" ht="12.75">
      <c r="A1579" t="s">
        <v>0</v>
      </c>
    </row>
    <row r="1580" ht="12.75">
      <c r="A1580" t="s">
        <v>291</v>
      </c>
    </row>
    <row r="1581" ht="12.75">
      <c r="A1581" t="s">
        <v>1</v>
      </c>
    </row>
    <row r="1582" ht="12.75">
      <c r="A1582" t="s">
        <v>416</v>
      </c>
    </row>
    <row r="1584" ht="12.75">
      <c r="A1584" t="s">
        <v>2</v>
      </c>
    </row>
    <row r="1586" ht="12.75">
      <c r="A1586" t="s">
        <v>165</v>
      </c>
    </row>
    <row r="1587" ht="12.75">
      <c r="A1587" t="s">
        <v>167</v>
      </c>
    </row>
    <row r="1588" ht="12.75">
      <c r="A1588" t="s">
        <v>4</v>
      </c>
    </row>
    <row r="1589" ht="12.75">
      <c r="A1589" t="s">
        <v>168</v>
      </c>
    </row>
    <row r="1590" ht="12.75">
      <c r="A1590" t="s">
        <v>169</v>
      </c>
    </row>
    <row r="1592" ht="12.75">
      <c r="A1592" t="s">
        <v>6</v>
      </c>
    </row>
    <row r="1593" ht="12.75">
      <c r="A1593" t="s">
        <v>7</v>
      </c>
    </row>
    <row r="1595" spans="1:8" ht="12.75">
      <c r="A1595" s="4" t="s">
        <v>8</v>
      </c>
      <c r="B1595" s="4" t="s">
        <v>13</v>
      </c>
      <c r="C1595" s="4" t="s">
        <v>9</v>
      </c>
      <c r="D1595" s="4" t="s">
        <v>10</v>
      </c>
      <c r="E1595" s="4" t="s">
        <v>15</v>
      </c>
      <c r="F1595" s="4" t="s">
        <v>16</v>
      </c>
      <c r="G1595" s="4" t="s">
        <v>9</v>
      </c>
      <c r="H1595" s="4" t="s">
        <v>11</v>
      </c>
    </row>
    <row r="1596" spans="1:8" ht="12.75">
      <c r="A1596" s="4"/>
      <c r="B1596" s="4"/>
      <c r="C1596" s="4" t="s">
        <v>417</v>
      </c>
      <c r="D1596" s="4" t="s">
        <v>418</v>
      </c>
      <c r="E1596" s="4" t="s">
        <v>14</v>
      </c>
      <c r="F1596" s="4" t="s">
        <v>17</v>
      </c>
      <c r="G1596" s="4" t="s">
        <v>420</v>
      </c>
      <c r="H1596" s="4" t="s">
        <v>12</v>
      </c>
    </row>
    <row r="1597" spans="1:8" ht="12.75">
      <c r="A1597" s="4"/>
      <c r="B1597" s="4"/>
      <c r="C1597" s="4"/>
      <c r="D1597" s="4"/>
      <c r="E1597" s="4" t="s">
        <v>419</v>
      </c>
      <c r="F1597" s="4" t="s">
        <v>419</v>
      </c>
      <c r="G1597" s="4"/>
      <c r="H1597" s="4" t="s">
        <v>421</v>
      </c>
    </row>
    <row r="1598" spans="1:8" ht="12.75">
      <c r="A1598" s="4"/>
      <c r="B1598" s="4"/>
      <c r="C1598" s="4"/>
      <c r="D1598" s="4"/>
      <c r="E1598" s="4"/>
      <c r="F1598" s="4"/>
      <c r="G1598" s="4"/>
      <c r="H1598" s="4"/>
    </row>
    <row r="1599" spans="1:8" ht="22.5">
      <c r="A1599" s="4">
        <v>1</v>
      </c>
      <c r="B1599" s="5" t="s">
        <v>18</v>
      </c>
      <c r="C1599" s="6"/>
      <c r="D1599" s="6">
        <v>315285.46</v>
      </c>
      <c r="E1599" s="6">
        <v>312640.2</v>
      </c>
      <c r="F1599" s="6">
        <f>D1599</f>
        <v>315285.46</v>
      </c>
      <c r="G1599" s="6"/>
      <c r="H1599" s="6">
        <f>-120794.76+2569-2645.26</f>
        <v>-120871.01999999999</v>
      </c>
    </row>
    <row r="1600" spans="1:8" ht="12.75">
      <c r="A1600" s="4">
        <v>2</v>
      </c>
      <c r="B1600" s="5" t="s">
        <v>21</v>
      </c>
      <c r="C1600" s="8"/>
      <c r="D1600" s="6"/>
      <c r="E1600" s="6"/>
      <c r="F1600" s="6"/>
      <c r="G1600" s="6"/>
      <c r="H1600" s="6"/>
    </row>
    <row r="1601" spans="1:8" ht="12.75">
      <c r="A1601" s="4">
        <v>3</v>
      </c>
      <c r="B1601" s="5" t="s">
        <v>22</v>
      </c>
      <c r="C1601" s="8"/>
      <c r="D1601" s="6">
        <v>128688.78</v>
      </c>
      <c r="E1601" s="6">
        <v>126125.14</v>
      </c>
      <c r="F1601" s="6">
        <f>D1601</f>
        <v>128688.78</v>
      </c>
      <c r="G1601" s="6"/>
      <c r="H1601" s="6">
        <f>-44811.5+1578-2563.64</f>
        <v>-45797.14</v>
      </c>
    </row>
    <row r="1602" spans="1:8" ht="22.5">
      <c r="A1602" s="4">
        <v>4</v>
      </c>
      <c r="B1602" s="5" t="s">
        <v>23</v>
      </c>
      <c r="C1602" s="8"/>
      <c r="D1602" s="6"/>
      <c r="E1602" s="6"/>
      <c r="F1602" s="6"/>
      <c r="G1602" s="6"/>
      <c r="H1602" s="6"/>
    </row>
    <row r="1603" spans="1:8" ht="22.5">
      <c r="A1603" s="4">
        <v>5</v>
      </c>
      <c r="B1603" s="5" t="s">
        <v>24</v>
      </c>
      <c r="C1603" s="8">
        <v>53967.32</v>
      </c>
      <c r="D1603" s="6">
        <v>69190.56</v>
      </c>
      <c r="E1603" s="6">
        <f>'[1]текущий 2017'!$B$2177</f>
        <v>72969.61</v>
      </c>
      <c r="F1603" s="6">
        <f>'[1]текущий 2017'!$C$2178</f>
        <v>20048.03</v>
      </c>
      <c r="G1603" s="6">
        <f>C1603+E1603-F1603</f>
        <v>106888.9</v>
      </c>
      <c r="H1603" s="6">
        <v>-24224.15</v>
      </c>
    </row>
    <row r="1604" spans="1:8" ht="22.5">
      <c r="A1604" s="4">
        <v>6</v>
      </c>
      <c r="B1604" s="5" t="s">
        <v>25</v>
      </c>
      <c r="C1604" s="8">
        <v>0</v>
      </c>
      <c r="D1604" s="6"/>
      <c r="E1604" s="6">
        <v>0</v>
      </c>
      <c r="F1604" s="6"/>
      <c r="G1604" s="6">
        <f>C1604+E1604-F1604</f>
        <v>0</v>
      </c>
      <c r="H1604" s="6">
        <v>8305.73</v>
      </c>
    </row>
    <row r="1605" spans="1:8" ht="22.5">
      <c r="A1605" s="4">
        <v>6.1</v>
      </c>
      <c r="B1605" s="5" t="s">
        <v>407</v>
      </c>
      <c r="C1605" s="8">
        <v>118529</v>
      </c>
      <c r="D1605" s="6"/>
      <c r="E1605" s="6"/>
      <c r="F1605" s="6"/>
      <c r="G1605" s="6"/>
      <c r="H1605" s="6">
        <v>8305.73</v>
      </c>
    </row>
    <row r="1606" spans="1:8" ht="22.5">
      <c r="A1606" s="4">
        <v>7</v>
      </c>
      <c r="B1606" s="5" t="s">
        <v>26</v>
      </c>
      <c r="C1606" s="5">
        <f aca="true" t="shared" si="41" ref="C1606:H1606">C1607+C1608+C1609+C1610</f>
        <v>0</v>
      </c>
      <c r="D1606" s="5">
        <f t="shared" si="41"/>
        <v>1479001.38</v>
      </c>
      <c r="E1606" s="8">
        <f t="shared" si="41"/>
        <v>1417863.01</v>
      </c>
      <c r="F1606" s="8">
        <f t="shared" si="41"/>
        <v>1420977.49</v>
      </c>
      <c r="G1606" s="5">
        <f t="shared" si="41"/>
        <v>0</v>
      </c>
      <c r="H1606" s="5">
        <f t="shared" si="41"/>
        <v>-1039702.23</v>
      </c>
    </row>
    <row r="1607" spans="1:8" ht="12.75">
      <c r="A1607" s="4" t="s">
        <v>27</v>
      </c>
      <c r="B1607" s="5" t="s">
        <v>28</v>
      </c>
      <c r="C1607" s="5"/>
      <c r="D1607" s="4">
        <v>31100.68</v>
      </c>
      <c r="E1607" s="6">
        <v>27986.2</v>
      </c>
      <c r="F1607" s="6">
        <f>D1607</f>
        <v>31100.68</v>
      </c>
      <c r="G1607" s="4"/>
      <c r="H1607" s="4">
        <f>-3114.48</f>
        <v>-3114.48</v>
      </c>
    </row>
    <row r="1608" spans="1:8" ht="33.75">
      <c r="A1608" s="4" t="s">
        <v>29</v>
      </c>
      <c r="B1608" s="5" t="s">
        <v>30</v>
      </c>
      <c r="C1608" s="5"/>
      <c r="D1608" s="4">
        <v>284950.2</v>
      </c>
      <c r="E1608" s="6">
        <v>254725.26</v>
      </c>
      <c r="F1608" s="6">
        <f>E1608</f>
        <v>254725.26</v>
      </c>
      <c r="G1608" s="4">
        <f>E1608-F1608</f>
        <v>0</v>
      </c>
      <c r="H1608" s="4">
        <f>-135004.99-40256-30224.94</f>
        <v>-205485.93</v>
      </c>
    </row>
    <row r="1609" spans="1:8" ht="22.5">
      <c r="A1609" s="4" t="s">
        <v>31</v>
      </c>
      <c r="B1609" s="5" t="s">
        <v>32</v>
      </c>
      <c r="C1609" s="5"/>
      <c r="D1609" s="4">
        <v>446664.33</v>
      </c>
      <c r="E1609" s="6">
        <v>421091.8</v>
      </c>
      <c r="F1609" s="6">
        <f>E1609</f>
        <v>421091.8</v>
      </c>
      <c r="G1609" s="4"/>
      <c r="H1609" s="4">
        <f>-262613.04-80523-25572.53</f>
        <v>-368708.56999999995</v>
      </c>
    </row>
    <row r="1610" spans="1:8" ht="22.5">
      <c r="A1610" s="4" t="s">
        <v>33</v>
      </c>
      <c r="B1610" s="5" t="s">
        <v>34</v>
      </c>
      <c r="C1610" s="5"/>
      <c r="D1610" s="4">
        <v>716286.17</v>
      </c>
      <c r="E1610" s="6">
        <v>714059.75</v>
      </c>
      <c r="F1610" s="6">
        <f>E1610</f>
        <v>714059.75</v>
      </c>
      <c r="G1610" s="4">
        <f>E1610-F1610</f>
        <v>0</v>
      </c>
      <c r="H1610" s="4">
        <f>-399643.83-60523-2226.42</f>
        <v>-462393.25</v>
      </c>
    </row>
    <row r="1611" spans="1:8" ht="56.25">
      <c r="A1611" s="4"/>
      <c r="B1611" s="23" t="s">
        <v>389</v>
      </c>
      <c r="C1611" s="4">
        <v>21600</v>
      </c>
      <c r="D1611" s="4">
        <v>7200</v>
      </c>
      <c r="E1611" s="4">
        <v>7200</v>
      </c>
      <c r="F1611" s="4"/>
      <c r="G1611" s="4">
        <f>C1611+E1611</f>
        <v>28800</v>
      </c>
      <c r="H1611" s="4"/>
    </row>
    <row r="1612" spans="1:8" ht="12.75">
      <c r="A1612" s="4"/>
      <c r="B1612" s="4"/>
      <c r="C1612" s="4"/>
      <c r="D1612" s="4"/>
      <c r="E1612" s="4"/>
      <c r="F1612" s="4"/>
      <c r="G1612" s="4"/>
      <c r="H1612" s="4"/>
    </row>
    <row r="1615" ht="112.5" customHeight="1"/>
    <row r="1616" ht="12.75">
      <c r="A1616" t="s">
        <v>0</v>
      </c>
    </row>
    <row r="1617" ht="12.75">
      <c r="A1617" t="s">
        <v>291</v>
      </c>
    </row>
    <row r="1618" ht="12.75">
      <c r="A1618" t="s">
        <v>1</v>
      </c>
    </row>
    <row r="1619" ht="12.75">
      <c r="A1619" t="s">
        <v>416</v>
      </c>
    </row>
    <row r="1621" ht="12.75">
      <c r="A1621" t="s">
        <v>2</v>
      </c>
    </row>
    <row r="1623" ht="12.75">
      <c r="A1623" t="s">
        <v>170</v>
      </c>
    </row>
    <row r="1624" ht="12.75">
      <c r="A1624" t="s">
        <v>171</v>
      </c>
    </row>
    <row r="1625" ht="12.75">
      <c r="A1625" t="s">
        <v>4</v>
      </c>
    </row>
    <row r="1626" ht="12.75">
      <c r="A1626" t="s">
        <v>172</v>
      </c>
    </row>
    <row r="1627" ht="12.75">
      <c r="A1627" t="s">
        <v>5</v>
      </c>
    </row>
    <row r="1629" ht="12.75">
      <c r="A1629" t="s">
        <v>6</v>
      </c>
    </row>
    <row r="1630" ht="12.75">
      <c r="A1630" t="s">
        <v>7</v>
      </c>
    </row>
    <row r="1632" spans="1:8" ht="12.75">
      <c r="A1632" s="4" t="s">
        <v>8</v>
      </c>
      <c r="B1632" s="4" t="s">
        <v>13</v>
      </c>
      <c r="C1632" s="4" t="s">
        <v>9</v>
      </c>
      <c r="D1632" s="4" t="s">
        <v>10</v>
      </c>
      <c r="E1632" s="4" t="s">
        <v>15</v>
      </c>
      <c r="F1632" s="4" t="s">
        <v>16</v>
      </c>
      <c r="G1632" s="4" t="s">
        <v>9</v>
      </c>
      <c r="H1632" s="4" t="s">
        <v>11</v>
      </c>
    </row>
    <row r="1633" spans="1:8" ht="12.75">
      <c r="A1633" s="4"/>
      <c r="B1633" s="4"/>
      <c r="C1633" s="4" t="s">
        <v>417</v>
      </c>
      <c r="D1633" s="4" t="s">
        <v>418</v>
      </c>
      <c r="E1633" s="4" t="s">
        <v>14</v>
      </c>
      <c r="F1633" s="4" t="s">
        <v>17</v>
      </c>
      <c r="G1633" s="4" t="s">
        <v>420</v>
      </c>
      <c r="H1633" s="4" t="s">
        <v>12</v>
      </c>
    </row>
    <row r="1634" spans="1:8" ht="12.75">
      <c r="A1634" s="4"/>
      <c r="B1634" s="4"/>
      <c r="C1634" s="4"/>
      <c r="D1634" s="4"/>
      <c r="E1634" s="4" t="s">
        <v>419</v>
      </c>
      <c r="F1634" s="4" t="s">
        <v>419</v>
      </c>
      <c r="G1634" s="4"/>
      <c r="H1634" s="4" t="s">
        <v>421</v>
      </c>
    </row>
    <row r="1635" spans="1:8" ht="12.75">
      <c r="A1635" s="4"/>
      <c r="B1635" s="4"/>
      <c r="C1635" s="4"/>
      <c r="D1635" s="4"/>
      <c r="E1635" s="4"/>
      <c r="F1635" s="4"/>
      <c r="G1635" s="4"/>
      <c r="H1635" s="4"/>
    </row>
    <row r="1636" spans="1:8" ht="22.5">
      <c r="A1636" s="4">
        <v>1</v>
      </c>
      <c r="B1636" s="5" t="s">
        <v>18</v>
      </c>
      <c r="C1636" s="6"/>
      <c r="D1636" s="6">
        <v>335149.99</v>
      </c>
      <c r="E1636" s="6">
        <v>330474.66</v>
      </c>
      <c r="F1636" s="6">
        <f>D1636</f>
        <v>335149.99</v>
      </c>
      <c r="G1636" s="6"/>
      <c r="H1636" s="6">
        <f>-98115.01+25632-4675.33</f>
        <v>-77158.34</v>
      </c>
    </row>
    <row r="1637" spans="1:8" ht="12.75">
      <c r="A1637" s="4">
        <v>2</v>
      </c>
      <c r="B1637" s="5" t="s">
        <v>21</v>
      </c>
      <c r="C1637" s="8"/>
      <c r="D1637" s="6"/>
      <c r="E1637" s="6"/>
      <c r="F1637" s="6"/>
      <c r="G1637" s="6"/>
      <c r="H1637" s="6"/>
    </row>
    <row r="1638" spans="1:8" ht="12.75">
      <c r="A1638" s="4">
        <v>3</v>
      </c>
      <c r="B1638" s="5" t="s">
        <v>22</v>
      </c>
      <c r="C1638" s="8"/>
      <c r="D1638" s="6">
        <v>137625.31</v>
      </c>
      <c r="E1638" s="6">
        <v>135628.39</v>
      </c>
      <c r="F1638" s="6">
        <f>D1638</f>
        <v>137625.31</v>
      </c>
      <c r="G1638" s="6"/>
      <c r="H1638" s="6">
        <f>-32049.44+10256-1996.92</f>
        <v>-23790.36</v>
      </c>
    </row>
    <row r="1639" spans="1:8" ht="22.5">
      <c r="A1639" s="4">
        <v>4</v>
      </c>
      <c r="B1639" s="5" t="s">
        <v>23</v>
      </c>
      <c r="C1639" s="8"/>
      <c r="D1639" s="6"/>
      <c r="E1639" s="6"/>
      <c r="F1639" s="6"/>
      <c r="G1639" s="6"/>
      <c r="H1639" s="6"/>
    </row>
    <row r="1640" spans="1:8" ht="22.5">
      <c r="A1640" s="4">
        <v>5</v>
      </c>
      <c r="B1640" s="5" t="s">
        <v>24</v>
      </c>
      <c r="C1640" s="8">
        <v>168944.65</v>
      </c>
      <c r="D1640" s="6">
        <v>155273.84</v>
      </c>
      <c r="E1640" s="6">
        <f>'[1]текущий 2017'!$B$2228</f>
        <v>141654.11</v>
      </c>
      <c r="F1640" s="6">
        <f>'[1]текущий 2017'!$C$2229</f>
        <v>266336.51</v>
      </c>
      <c r="G1640" s="6">
        <f>C1640+E1640-F1640</f>
        <v>44262.25</v>
      </c>
      <c r="H1640" s="6">
        <v>-31464.57</v>
      </c>
    </row>
    <row r="1641" spans="1:8" ht="22.5">
      <c r="A1641" s="4">
        <v>6</v>
      </c>
      <c r="B1641" s="5" t="s">
        <v>25</v>
      </c>
      <c r="C1641" s="8"/>
      <c r="D1641" s="6"/>
      <c r="E1641" s="6"/>
      <c r="F1641" s="6"/>
      <c r="G1641" s="6">
        <v>0</v>
      </c>
      <c r="H1641" s="6">
        <v>-1664.36</v>
      </c>
    </row>
    <row r="1642" spans="1:8" ht="22.5">
      <c r="A1642" s="4">
        <v>6.1</v>
      </c>
      <c r="B1642" s="5" t="s">
        <v>391</v>
      </c>
      <c r="C1642" s="8">
        <v>129731</v>
      </c>
      <c r="D1642" s="6"/>
      <c r="E1642" s="6"/>
      <c r="F1642" s="6"/>
      <c r="G1642" s="6"/>
      <c r="H1642" s="6">
        <v>-1664.36</v>
      </c>
    </row>
    <row r="1643" spans="1:8" ht="22.5">
      <c r="A1643" s="4">
        <v>7</v>
      </c>
      <c r="B1643" s="5" t="s">
        <v>26</v>
      </c>
      <c r="C1643" s="5">
        <f aca="true" t="shared" si="42" ref="C1643:H1643">C1644+C1645+C1646+C1647</f>
        <v>0</v>
      </c>
      <c r="D1643" s="5">
        <f t="shared" si="42"/>
        <v>1530110.35</v>
      </c>
      <c r="E1643" s="8">
        <f t="shared" si="42"/>
        <v>1503841.96</v>
      </c>
      <c r="F1643" s="8">
        <f t="shared" si="42"/>
        <v>1505771.13</v>
      </c>
      <c r="G1643" s="5">
        <f t="shared" si="42"/>
        <v>0</v>
      </c>
      <c r="H1643" s="5">
        <f t="shared" si="42"/>
        <v>-654326.7999999999</v>
      </c>
    </row>
    <row r="1644" spans="1:8" ht="12.75">
      <c r="A1644" s="4" t="s">
        <v>27</v>
      </c>
      <c r="B1644" s="5" t="s">
        <v>28</v>
      </c>
      <c r="C1644" s="5"/>
      <c r="D1644" s="4">
        <v>29377.41</v>
      </c>
      <c r="E1644" s="6">
        <v>27448.24</v>
      </c>
      <c r="F1644" s="6">
        <f>D1644</f>
        <v>29377.41</v>
      </c>
      <c r="G1644" s="4"/>
      <c r="H1644" s="4">
        <f>-1929.17</f>
        <v>-1929.17</v>
      </c>
    </row>
    <row r="1645" spans="1:8" ht="33.75">
      <c r="A1645" s="4" t="s">
        <v>29</v>
      </c>
      <c r="B1645" s="5" t="s">
        <v>30</v>
      </c>
      <c r="C1645" s="5"/>
      <c r="D1645" s="4">
        <v>313081.64</v>
      </c>
      <c r="E1645" s="6">
        <v>300163.98</v>
      </c>
      <c r="F1645" s="6">
        <f>E1645</f>
        <v>300163.98</v>
      </c>
      <c r="G1645" s="4">
        <f>E1645-F1645</f>
        <v>0</v>
      </c>
      <c r="H1645" s="4">
        <f>-109350.89+20589-12917.66</f>
        <v>-101679.55</v>
      </c>
    </row>
    <row r="1646" spans="1:8" ht="22.5">
      <c r="A1646" s="4" t="s">
        <v>31</v>
      </c>
      <c r="B1646" s="5" t="s">
        <v>32</v>
      </c>
      <c r="C1646" s="5"/>
      <c r="D1646" s="4">
        <v>420390.99</v>
      </c>
      <c r="E1646" s="6">
        <v>417002.06</v>
      </c>
      <c r="F1646" s="6">
        <f>E1646</f>
        <v>417002.06</v>
      </c>
      <c r="G1646" s="4"/>
      <c r="H1646" s="4">
        <f>-193816.11+40526-3388.93</f>
        <v>-156679.03999999998</v>
      </c>
    </row>
    <row r="1647" spans="1:8" ht="22.5">
      <c r="A1647" s="4" t="s">
        <v>33</v>
      </c>
      <c r="B1647" s="5" t="s">
        <v>34</v>
      </c>
      <c r="C1647" s="5"/>
      <c r="D1647" s="4">
        <v>767260.31</v>
      </c>
      <c r="E1647" s="6">
        <v>759227.68</v>
      </c>
      <c r="F1647" s="6">
        <f>E1647</f>
        <v>759227.68</v>
      </c>
      <c r="G1647" s="4">
        <f>E1647-F1647</f>
        <v>0</v>
      </c>
      <c r="H1647" s="4">
        <f>-360363.41-25643-8032.63</f>
        <v>-394039.04</v>
      </c>
    </row>
    <row r="1648" spans="1:8" ht="56.25">
      <c r="A1648" s="4"/>
      <c r="B1648" s="23" t="s">
        <v>389</v>
      </c>
      <c r="C1648" s="4">
        <v>21600</v>
      </c>
      <c r="D1648" s="4">
        <v>7200</v>
      </c>
      <c r="E1648" s="4">
        <v>7200</v>
      </c>
      <c r="F1648" s="4"/>
      <c r="G1648" s="4">
        <f>C1648+E1648</f>
        <v>28800</v>
      </c>
      <c r="H1648" s="4"/>
    </row>
    <row r="1649" spans="1:8" ht="12.75">
      <c r="A1649" s="4"/>
      <c r="B1649" s="4"/>
      <c r="C1649" s="4"/>
      <c r="D1649" s="4"/>
      <c r="E1649" s="4"/>
      <c r="F1649" s="4"/>
      <c r="G1649" s="4"/>
      <c r="H1649" s="4"/>
    </row>
    <row r="1652" ht="113.25" customHeight="1"/>
    <row r="1653" ht="12.75">
      <c r="A1653" t="s">
        <v>0</v>
      </c>
    </row>
    <row r="1654" ht="12.75">
      <c r="A1654" t="s">
        <v>291</v>
      </c>
    </row>
    <row r="1655" ht="12.75">
      <c r="A1655" t="s">
        <v>1</v>
      </c>
    </row>
    <row r="1656" ht="12.75">
      <c r="A1656" t="s">
        <v>416</v>
      </c>
    </row>
    <row r="1658" ht="12.75">
      <c r="A1658" t="s">
        <v>2</v>
      </c>
    </row>
    <row r="1660" ht="12.75">
      <c r="A1660" t="s">
        <v>173</v>
      </c>
    </row>
    <row r="1661" ht="12.75">
      <c r="A1661" t="s">
        <v>174</v>
      </c>
    </row>
    <row r="1662" ht="12.75">
      <c r="A1662" t="s">
        <v>4</v>
      </c>
    </row>
    <row r="1663" ht="12.75">
      <c r="A1663" t="s">
        <v>175</v>
      </c>
    </row>
    <row r="1664" ht="12.75">
      <c r="A1664" t="s">
        <v>176</v>
      </c>
    </row>
    <row r="1666" ht="12.75">
      <c r="A1666" t="s">
        <v>6</v>
      </c>
    </row>
    <row r="1667" ht="12.75">
      <c r="A1667" t="s">
        <v>7</v>
      </c>
    </row>
    <row r="1669" spans="1:8" ht="12.75">
      <c r="A1669" s="4" t="s">
        <v>8</v>
      </c>
      <c r="B1669" s="4" t="s">
        <v>13</v>
      </c>
      <c r="C1669" s="4" t="s">
        <v>9</v>
      </c>
      <c r="D1669" s="4" t="s">
        <v>10</v>
      </c>
      <c r="E1669" s="4" t="s">
        <v>15</v>
      </c>
      <c r="F1669" s="4" t="s">
        <v>16</v>
      </c>
      <c r="G1669" s="4" t="s">
        <v>9</v>
      </c>
      <c r="H1669" s="4" t="s">
        <v>11</v>
      </c>
    </row>
    <row r="1670" spans="1:8" ht="12.75">
      <c r="A1670" s="4"/>
      <c r="B1670" s="4"/>
      <c r="C1670" s="4" t="s">
        <v>417</v>
      </c>
      <c r="D1670" s="4" t="s">
        <v>418</v>
      </c>
      <c r="E1670" s="4" t="s">
        <v>14</v>
      </c>
      <c r="F1670" s="4" t="s">
        <v>17</v>
      </c>
      <c r="G1670" s="4" t="s">
        <v>420</v>
      </c>
      <c r="H1670" s="4" t="s">
        <v>12</v>
      </c>
    </row>
    <row r="1671" spans="1:8" ht="12.75">
      <c r="A1671" s="4"/>
      <c r="B1671" s="4"/>
      <c r="C1671" s="4"/>
      <c r="D1671" s="4"/>
      <c r="E1671" s="4" t="s">
        <v>419</v>
      </c>
      <c r="F1671" s="4" t="s">
        <v>419</v>
      </c>
      <c r="G1671" s="4"/>
      <c r="H1671" s="4" t="s">
        <v>421</v>
      </c>
    </row>
    <row r="1672" spans="1:8" ht="12.75">
      <c r="A1672" s="4"/>
      <c r="B1672" s="4"/>
      <c r="C1672" s="4"/>
      <c r="D1672" s="4"/>
      <c r="E1672" s="4"/>
      <c r="F1672" s="4"/>
      <c r="G1672" s="4"/>
      <c r="H1672" s="4"/>
    </row>
    <row r="1673" spans="1:8" ht="22.5">
      <c r="A1673" s="4">
        <v>1</v>
      </c>
      <c r="B1673" s="5" t="s">
        <v>18</v>
      </c>
      <c r="C1673" s="6"/>
      <c r="D1673" s="6">
        <v>322745.74</v>
      </c>
      <c r="E1673" s="6">
        <v>321751.01</v>
      </c>
      <c r="F1673" s="6">
        <f>D1673</f>
        <v>322745.74</v>
      </c>
      <c r="G1673" s="6"/>
      <c r="H1673" s="6">
        <f>-35023.31+15546-994.73</f>
        <v>-20472.039999999997</v>
      </c>
    </row>
    <row r="1674" spans="1:8" ht="12.75">
      <c r="A1674" s="4">
        <v>2</v>
      </c>
      <c r="B1674" s="5" t="s">
        <v>21</v>
      </c>
      <c r="C1674" s="8"/>
      <c r="D1674" s="6"/>
      <c r="E1674" s="6"/>
      <c r="F1674" s="6"/>
      <c r="G1674" s="6"/>
      <c r="H1674" s="6"/>
    </row>
    <row r="1675" spans="1:8" ht="12.75">
      <c r="A1675" s="4">
        <v>3</v>
      </c>
      <c r="B1675" s="5" t="s">
        <v>22</v>
      </c>
      <c r="C1675" s="8"/>
      <c r="D1675" s="6">
        <v>131830.23</v>
      </c>
      <c r="E1675" s="6">
        <v>129361.29</v>
      </c>
      <c r="F1675" s="6">
        <f>D1675</f>
        <v>131830.23</v>
      </c>
      <c r="G1675" s="6"/>
      <c r="H1675" s="6">
        <f>-19471.63+8563-2468.94</f>
        <v>-13377.570000000002</v>
      </c>
    </row>
    <row r="1676" spans="1:8" ht="22.5">
      <c r="A1676" s="4">
        <v>4</v>
      </c>
      <c r="B1676" s="5" t="s">
        <v>23</v>
      </c>
      <c r="C1676" s="8"/>
      <c r="D1676" s="6"/>
      <c r="E1676" s="6"/>
      <c r="F1676" s="6"/>
      <c r="G1676" s="6"/>
      <c r="H1676" s="6"/>
    </row>
    <row r="1677" spans="1:8" ht="22.5">
      <c r="A1677" s="4">
        <v>5</v>
      </c>
      <c r="B1677" s="5" t="s">
        <v>24</v>
      </c>
      <c r="C1677" s="8">
        <v>214193.05</v>
      </c>
      <c r="D1677" s="6">
        <v>70881.36</v>
      </c>
      <c r="E1677" s="6">
        <f>'[1]текущий 2017'!$B$2279</f>
        <v>79204.47</v>
      </c>
      <c r="F1677" s="6">
        <f>'[1]текущий 2017'!$C$2280</f>
        <v>25968.48</v>
      </c>
      <c r="G1677" s="6">
        <f>C1677+E1677-F1677</f>
        <v>267429.04000000004</v>
      </c>
      <c r="H1677" s="6">
        <v>-43262.26</v>
      </c>
    </row>
    <row r="1678" spans="1:8" ht="22.5">
      <c r="A1678" s="4">
        <v>6</v>
      </c>
      <c r="B1678" s="5" t="s">
        <v>25</v>
      </c>
      <c r="C1678" s="8">
        <v>0</v>
      </c>
      <c r="D1678" s="6"/>
      <c r="E1678" s="6">
        <v>0</v>
      </c>
      <c r="F1678" s="6"/>
      <c r="G1678" s="6">
        <f>C1678+E1678-F1678</f>
        <v>0</v>
      </c>
      <c r="H1678" s="6">
        <v>-4328.62</v>
      </c>
    </row>
    <row r="1679" spans="1:8" ht="22.5">
      <c r="A1679" s="4">
        <v>6.1</v>
      </c>
      <c r="B1679" s="5" t="s">
        <v>391</v>
      </c>
      <c r="C1679" s="8">
        <v>122751</v>
      </c>
      <c r="D1679" s="6"/>
      <c r="E1679" s="6"/>
      <c r="F1679" s="6"/>
      <c r="G1679" s="6"/>
      <c r="H1679" s="6">
        <v>-4328.62</v>
      </c>
    </row>
    <row r="1680" spans="1:8" ht="22.5">
      <c r="A1680" s="4">
        <v>7</v>
      </c>
      <c r="B1680" s="5" t="s">
        <v>26</v>
      </c>
      <c r="C1680" s="5">
        <f aca="true" t="shared" si="43" ref="C1680:H1680">C1681+C1682+C1683+C1684</f>
        <v>0</v>
      </c>
      <c r="D1680" s="5">
        <f t="shared" si="43"/>
        <v>1407173.95</v>
      </c>
      <c r="E1680" s="8">
        <f t="shared" si="43"/>
        <v>1391041.34</v>
      </c>
      <c r="F1680" s="8">
        <f t="shared" si="43"/>
        <v>1392970.51</v>
      </c>
      <c r="G1680" s="5">
        <f t="shared" si="43"/>
        <v>0</v>
      </c>
      <c r="H1680" s="5">
        <f t="shared" si="43"/>
        <v>-455968.92000000004</v>
      </c>
    </row>
    <row r="1681" spans="1:8" ht="12.75">
      <c r="A1681" s="4" t="s">
        <v>27</v>
      </c>
      <c r="B1681" s="5" t="s">
        <v>28</v>
      </c>
      <c r="C1681" s="5"/>
      <c r="D1681" s="4">
        <v>29377.41</v>
      </c>
      <c r="E1681" s="6">
        <v>27448.24</v>
      </c>
      <c r="F1681" s="6">
        <f>D1681</f>
        <v>29377.41</v>
      </c>
      <c r="G1681" s="4"/>
      <c r="H1681" s="4">
        <f>1929.17</f>
        <v>1929.17</v>
      </c>
    </row>
    <row r="1682" spans="1:8" ht="33.75">
      <c r="A1682" s="4" t="s">
        <v>29</v>
      </c>
      <c r="B1682" s="5" t="s">
        <v>30</v>
      </c>
      <c r="C1682" s="5"/>
      <c r="D1682" s="4">
        <v>262706.79</v>
      </c>
      <c r="E1682" s="6">
        <v>260622.47</v>
      </c>
      <c r="F1682" s="6">
        <f>E1682</f>
        <v>260622.47</v>
      </c>
      <c r="G1682" s="4">
        <f>E1682-F1682</f>
        <v>0</v>
      </c>
      <c r="H1682" s="4">
        <f>-67466.63+20856-2084.32</f>
        <v>-48694.950000000004</v>
      </c>
    </row>
    <row r="1683" spans="1:8" ht="22.5">
      <c r="A1683" s="4" t="s">
        <v>31</v>
      </c>
      <c r="B1683" s="5" t="s">
        <v>32</v>
      </c>
      <c r="C1683" s="5"/>
      <c r="D1683" s="4">
        <v>360139.81</v>
      </c>
      <c r="E1683" s="6">
        <v>357771.15</v>
      </c>
      <c r="F1683" s="6">
        <f>E1683</f>
        <v>357771.15</v>
      </c>
      <c r="G1683" s="4"/>
      <c r="H1683" s="4">
        <f>-128285.24+40221-2368.66</f>
        <v>-90432.90000000001</v>
      </c>
    </row>
    <row r="1684" spans="1:8" ht="22.5">
      <c r="A1684" s="4" t="s">
        <v>33</v>
      </c>
      <c r="B1684" s="5" t="s">
        <v>34</v>
      </c>
      <c r="C1684" s="5"/>
      <c r="D1684" s="4">
        <v>754949.94</v>
      </c>
      <c r="E1684" s="6">
        <v>745199.48</v>
      </c>
      <c r="F1684" s="6">
        <f>E1684</f>
        <v>745199.48</v>
      </c>
      <c r="G1684" s="4"/>
      <c r="H1684" s="4">
        <f>-293387.78-15632-9750.46</f>
        <v>-318770.24000000005</v>
      </c>
    </row>
    <row r="1685" spans="1:8" ht="56.25">
      <c r="A1685" s="4"/>
      <c r="B1685" s="23" t="s">
        <v>389</v>
      </c>
      <c r="C1685" s="4">
        <v>21600</v>
      </c>
      <c r="D1685" s="4">
        <v>7200</v>
      </c>
      <c r="E1685" s="4">
        <v>7200</v>
      </c>
      <c r="F1685" s="4"/>
      <c r="G1685" s="4">
        <f>C1685+E1685</f>
        <v>28800</v>
      </c>
      <c r="H1685" s="4"/>
    </row>
    <row r="1686" spans="1:8" ht="12.75">
      <c r="A1686" s="4"/>
      <c r="B1686" s="4"/>
      <c r="C1686" s="4"/>
      <c r="D1686" s="4"/>
      <c r="E1686" s="4"/>
      <c r="F1686" s="4"/>
      <c r="G1686" s="4"/>
      <c r="H1686" s="4"/>
    </row>
    <row r="1689" ht="109.5" customHeight="1"/>
    <row r="1690" ht="12.75">
      <c r="A1690" t="s">
        <v>0</v>
      </c>
    </row>
    <row r="1691" ht="12.75">
      <c r="A1691" t="s">
        <v>291</v>
      </c>
    </row>
    <row r="1692" ht="12.75">
      <c r="A1692" t="s">
        <v>1</v>
      </c>
    </row>
    <row r="1693" ht="12.75">
      <c r="A1693" t="s">
        <v>416</v>
      </c>
    </row>
    <row r="1695" ht="12.75">
      <c r="A1695" t="s">
        <v>2</v>
      </c>
    </row>
    <row r="1697" ht="12.75">
      <c r="A1697" t="s">
        <v>177</v>
      </c>
    </row>
    <row r="1698" ht="12.75">
      <c r="A1698" t="s">
        <v>178</v>
      </c>
    </row>
    <row r="1699" ht="12.75">
      <c r="A1699" t="s">
        <v>4</v>
      </c>
    </row>
    <row r="1700" ht="12.75">
      <c r="A1700" t="s">
        <v>179</v>
      </c>
    </row>
    <row r="1701" ht="12.75">
      <c r="A1701" t="s">
        <v>184</v>
      </c>
    </row>
    <row r="1703" ht="12.75">
      <c r="A1703" t="s">
        <v>6</v>
      </c>
    </row>
    <row r="1704" ht="12.75">
      <c r="A1704" t="s">
        <v>7</v>
      </c>
    </row>
    <row r="1706" spans="1:8" ht="12.75">
      <c r="A1706" s="4" t="s">
        <v>8</v>
      </c>
      <c r="B1706" s="4" t="s">
        <v>13</v>
      </c>
      <c r="C1706" s="4" t="s">
        <v>9</v>
      </c>
      <c r="D1706" s="4" t="s">
        <v>10</v>
      </c>
      <c r="E1706" s="4" t="s">
        <v>15</v>
      </c>
      <c r="F1706" s="4" t="s">
        <v>16</v>
      </c>
      <c r="G1706" s="4" t="s">
        <v>9</v>
      </c>
      <c r="H1706" s="4" t="s">
        <v>11</v>
      </c>
    </row>
    <row r="1707" spans="1:8" ht="12.75">
      <c r="A1707" s="4"/>
      <c r="B1707" s="4"/>
      <c r="C1707" s="4" t="s">
        <v>417</v>
      </c>
      <c r="D1707" s="4" t="s">
        <v>418</v>
      </c>
      <c r="E1707" s="4" t="s">
        <v>14</v>
      </c>
      <c r="F1707" s="4" t="s">
        <v>17</v>
      </c>
      <c r="G1707" s="4" t="s">
        <v>420</v>
      </c>
      <c r="H1707" s="4" t="s">
        <v>12</v>
      </c>
    </row>
    <row r="1708" spans="1:8" ht="12.75">
      <c r="A1708" s="4"/>
      <c r="B1708" s="4"/>
      <c r="C1708" s="4"/>
      <c r="D1708" s="4"/>
      <c r="E1708" s="4" t="s">
        <v>419</v>
      </c>
      <c r="F1708" s="4" t="s">
        <v>419</v>
      </c>
      <c r="G1708" s="4"/>
      <c r="H1708" s="4" t="s">
        <v>421</v>
      </c>
    </row>
    <row r="1709" spans="1:8" ht="12.75">
      <c r="A1709" s="4"/>
      <c r="B1709" s="4"/>
      <c r="C1709" s="4"/>
      <c r="D1709" s="4"/>
      <c r="E1709" s="4"/>
      <c r="F1709" s="4"/>
      <c r="G1709" s="4"/>
      <c r="H1709" s="4"/>
    </row>
    <row r="1710" spans="1:8" ht="22.5">
      <c r="A1710" s="4">
        <v>1</v>
      </c>
      <c r="B1710" s="5" t="s">
        <v>18</v>
      </c>
      <c r="C1710" s="6"/>
      <c r="D1710" s="6">
        <v>115295.76</v>
      </c>
      <c r="E1710" s="6">
        <v>108720.48</v>
      </c>
      <c r="F1710" s="6">
        <f>D1710</f>
        <v>115295.76</v>
      </c>
      <c r="G1710" s="6"/>
      <c r="H1710" s="6">
        <f>-61760.7+3520-6575.28</f>
        <v>-64815.979999999996</v>
      </c>
    </row>
    <row r="1711" spans="1:8" ht="12.75">
      <c r="A1711" s="4">
        <v>2</v>
      </c>
      <c r="B1711" s="5" t="s">
        <v>21</v>
      </c>
      <c r="C1711" s="8"/>
      <c r="D1711" s="6"/>
      <c r="E1711" s="6"/>
      <c r="F1711" s="6"/>
      <c r="G1711" s="6"/>
      <c r="H1711" s="6"/>
    </row>
    <row r="1712" spans="1:8" ht="12.75">
      <c r="A1712" s="4">
        <v>3</v>
      </c>
      <c r="B1712" s="5" t="s">
        <v>22</v>
      </c>
      <c r="C1712" s="8"/>
      <c r="D1712" s="6">
        <v>51623085</v>
      </c>
      <c r="E1712" s="6">
        <v>48292.22</v>
      </c>
      <c r="F1712" s="6">
        <f>D1712</f>
        <v>51623085</v>
      </c>
      <c r="G1712" s="6"/>
      <c r="H1712" s="6">
        <f>-21250.54+1852-3331.63</f>
        <v>-22730.170000000002</v>
      </c>
    </row>
    <row r="1713" spans="1:8" ht="22.5">
      <c r="A1713" s="4">
        <v>4</v>
      </c>
      <c r="B1713" s="5" t="s">
        <v>23</v>
      </c>
      <c r="C1713" s="8"/>
      <c r="D1713" s="6"/>
      <c r="E1713" s="6"/>
      <c r="F1713" s="6"/>
      <c r="G1713" s="6"/>
      <c r="H1713" s="6"/>
    </row>
    <row r="1714" spans="1:8" ht="22.5">
      <c r="A1714" s="4">
        <v>5</v>
      </c>
      <c r="B1714" s="5" t="s">
        <v>24</v>
      </c>
      <c r="C1714" s="8">
        <v>-7339.25</v>
      </c>
      <c r="D1714" s="6">
        <v>57280.13</v>
      </c>
      <c r="E1714" s="6">
        <f>'[1]текущий 2017'!$B$2330</f>
        <v>52586.11</v>
      </c>
      <c r="F1714" s="6">
        <f>'[1]текущий 2017'!$C$2331</f>
        <v>32108.65</v>
      </c>
      <c r="G1714" s="6">
        <f>C1714+E1714-F1714</f>
        <v>13138.21</v>
      </c>
      <c r="H1714" s="6">
        <v>-21043.65</v>
      </c>
    </row>
    <row r="1715" spans="1:8" ht="22.5">
      <c r="A1715" s="4">
        <v>6</v>
      </c>
      <c r="B1715" s="5" t="s">
        <v>25</v>
      </c>
      <c r="C1715" s="8">
        <v>453.01</v>
      </c>
      <c r="D1715" s="6"/>
      <c r="E1715" s="6"/>
      <c r="F1715" s="6"/>
      <c r="G1715" s="6">
        <v>453.01</v>
      </c>
      <c r="H1715" s="6">
        <v>-3713.55</v>
      </c>
    </row>
    <row r="1716" spans="1:8" ht="22.5">
      <c r="A1716" s="4">
        <v>6.1</v>
      </c>
      <c r="B1716" s="5" t="s">
        <v>391</v>
      </c>
      <c r="C1716" s="8">
        <v>48674</v>
      </c>
      <c r="D1716" s="6"/>
      <c r="E1716" s="6"/>
      <c r="F1716" s="6"/>
      <c r="G1716" s="6"/>
      <c r="H1716" s="6">
        <v>-3713.55</v>
      </c>
    </row>
    <row r="1717" spans="1:8" ht="22.5">
      <c r="A1717" s="4">
        <v>7</v>
      </c>
      <c r="B1717" s="5" t="s">
        <v>26</v>
      </c>
      <c r="C1717" s="5">
        <f aca="true" t="shared" si="44" ref="C1717:H1717">C1718+C1719+C1720+C1721</f>
        <v>0</v>
      </c>
      <c r="D1717" s="5">
        <f t="shared" si="44"/>
        <v>688671.47</v>
      </c>
      <c r="E1717" s="8">
        <f t="shared" si="44"/>
        <v>617656.74</v>
      </c>
      <c r="F1717" s="8">
        <f t="shared" si="44"/>
        <v>620161.22</v>
      </c>
      <c r="G1717" s="5">
        <f t="shared" si="44"/>
        <v>0</v>
      </c>
      <c r="H1717" s="5">
        <f t="shared" si="44"/>
        <v>-397361.93000000005</v>
      </c>
    </row>
    <row r="1718" spans="1:8" ht="12.75">
      <c r="A1718" s="4" t="s">
        <v>27</v>
      </c>
      <c r="B1718" s="5" t="s">
        <v>28</v>
      </c>
      <c r="C1718" s="5"/>
      <c r="D1718" s="4">
        <v>22892.67</v>
      </c>
      <c r="E1718" s="6">
        <v>20388.19</v>
      </c>
      <c r="F1718" s="6">
        <f>D1718</f>
        <v>22892.67</v>
      </c>
      <c r="G1718" s="4"/>
      <c r="H1718" s="4">
        <f>-2504.48</f>
        <v>-2504.48</v>
      </c>
    </row>
    <row r="1719" spans="1:8" ht="33.75">
      <c r="A1719" s="4" t="s">
        <v>29</v>
      </c>
      <c r="B1719" s="5" t="s">
        <v>30</v>
      </c>
      <c r="C1719" s="5"/>
      <c r="D1719" s="4">
        <v>219751.7</v>
      </c>
      <c r="E1719" s="6">
        <v>181635.31</v>
      </c>
      <c r="F1719" s="6">
        <f>E1719</f>
        <v>181635.31</v>
      </c>
      <c r="G1719" s="4">
        <f>E1719-F1719</f>
        <v>0</v>
      </c>
      <c r="H1719" s="4">
        <f>-102455.11-25632-38116.39</f>
        <v>-166203.5</v>
      </c>
    </row>
    <row r="1720" spans="1:8" ht="22.5">
      <c r="A1720" s="4" t="s">
        <v>31</v>
      </c>
      <c r="B1720" s="5" t="s">
        <v>32</v>
      </c>
      <c r="C1720" s="5"/>
      <c r="D1720" s="4"/>
      <c r="E1720" s="6"/>
      <c r="F1720" s="6"/>
      <c r="G1720" s="4"/>
      <c r="H1720" s="4"/>
    </row>
    <row r="1721" spans="1:8" ht="22.5">
      <c r="A1721" s="4" t="s">
        <v>33</v>
      </c>
      <c r="B1721" s="5" t="s">
        <v>34</v>
      </c>
      <c r="C1721" s="5"/>
      <c r="D1721" s="4">
        <v>446027.1</v>
      </c>
      <c r="E1721" s="6">
        <v>415633.24</v>
      </c>
      <c r="F1721" s="6">
        <f>E1721</f>
        <v>415633.24</v>
      </c>
      <c r="G1721" s="4">
        <f>E1721-F1721</f>
        <v>0</v>
      </c>
      <c r="H1721" s="4">
        <f>-182562.09-15698-30393.86</f>
        <v>-228653.95</v>
      </c>
    </row>
    <row r="1722" spans="1:8" ht="56.25">
      <c r="A1722" s="4"/>
      <c r="B1722" s="23" t="s">
        <v>389</v>
      </c>
      <c r="C1722" s="4">
        <v>5400</v>
      </c>
      <c r="D1722" s="4">
        <v>1800</v>
      </c>
      <c r="E1722" s="4">
        <v>1800</v>
      </c>
      <c r="F1722" s="4"/>
      <c r="G1722" s="4">
        <f>C1722+E1722</f>
        <v>7200</v>
      </c>
      <c r="H1722" s="4"/>
    </row>
    <row r="1723" spans="1:8" ht="12.75">
      <c r="A1723" s="4"/>
      <c r="B1723" s="4"/>
      <c r="C1723" s="4"/>
      <c r="D1723" s="4"/>
      <c r="E1723" s="4"/>
      <c r="F1723" s="4"/>
      <c r="G1723" s="4"/>
      <c r="H1723" s="4"/>
    </row>
    <row r="1726" ht="114" customHeight="1"/>
    <row r="1727" ht="12.75">
      <c r="A1727" t="s">
        <v>0</v>
      </c>
    </row>
    <row r="1728" ht="12.75">
      <c r="A1728" t="s">
        <v>291</v>
      </c>
    </row>
    <row r="1729" ht="12.75">
      <c r="A1729" t="s">
        <v>1</v>
      </c>
    </row>
    <row r="1730" ht="12.75">
      <c r="A1730" t="s">
        <v>416</v>
      </c>
    </row>
    <row r="1732" ht="12.75">
      <c r="A1732" t="s">
        <v>2</v>
      </c>
    </row>
    <row r="1734" ht="12.75">
      <c r="A1734" t="s">
        <v>180</v>
      </c>
    </row>
    <row r="1735" ht="12.75">
      <c r="A1735" t="s">
        <v>181</v>
      </c>
    </row>
    <row r="1736" ht="12.75">
      <c r="A1736" t="s">
        <v>4</v>
      </c>
    </row>
    <row r="1737" ht="12.75">
      <c r="A1737" t="s">
        <v>182</v>
      </c>
    </row>
    <row r="1738" ht="12.75">
      <c r="A1738" t="s">
        <v>183</v>
      </c>
    </row>
    <row r="1740" ht="12.75">
      <c r="A1740" t="s">
        <v>6</v>
      </c>
    </row>
    <row r="1741" ht="12.75">
      <c r="A1741" t="s">
        <v>7</v>
      </c>
    </row>
    <row r="1743" spans="1:8" ht="12.75">
      <c r="A1743" s="4" t="s">
        <v>8</v>
      </c>
      <c r="B1743" s="4" t="s">
        <v>13</v>
      </c>
      <c r="C1743" s="4" t="s">
        <v>9</v>
      </c>
      <c r="D1743" s="4" t="s">
        <v>10</v>
      </c>
      <c r="E1743" s="4" t="s">
        <v>15</v>
      </c>
      <c r="F1743" s="4" t="s">
        <v>16</v>
      </c>
      <c r="G1743" s="4" t="s">
        <v>9</v>
      </c>
      <c r="H1743" s="4" t="s">
        <v>11</v>
      </c>
    </row>
    <row r="1744" spans="1:8" ht="12.75">
      <c r="A1744" s="4"/>
      <c r="B1744" s="4"/>
      <c r="C1744" s="4" t="s">
        <v>417</v>
      </c>
      <c r="D1744" s="4" t="s">
        <v>418</v>
      </c>
      <c r="E1744" s="4" t="s">
        <v>14</v>
      </c>
      <c r="F1744" s="4" t="s">
        <v>17</v>
      </c>
      <c r="G1744" s="4" t="s">
        <v>420</v>
      </c>
      <c r="H1744" s="4" t="s">
        <v>12</v>
      </c>
    </row>
    <row r="1745" spans="1:8" ht="12.75">
      <c r="A1745" s="4"/>
      <c r="B1745" s="4"/>
      <c r="C1745" s="4"/>
      <c r="D1745" s="4"/>
      <c r="E1745" s="4" t="s">
        <v>419</v>
      </c>
      <c r="F1745" s="4" t="s">
        <v>419</v>
      </c>
      <c r="G1745" s="4"/>
      <c r="H1745" s="4" t="s">
        <v>421</v>
      </c>
    </row>
    <row r="1746" spans="1:8" ht="12.75">
      <c r="A1746" s="4"/>
      <c r="B1746" s="4"/>
      <c r="C1746" s="4"/>
      <c r="D1746" s="4"/>
      <c r="E1746" s="4"/>
      <c r="F1746" s="4"/>
      <c r="G1746" s="4"/>
      <c r="H1746" s="4"/>
    </row>
    <row r="1747" spans="1:8" ht="22.5">
      <c r="A1747" s="4">
        <v>1</v>
      </c>
      <c r="B1747" s="5" t="s">
        <v>18</v>
      </c>
      <c r="C1747" s="6"/>
      <c r="D1747" s="6">
        <v>334808.97</v>
      </c>
      <c r="E1747" s="6">
        <v>320501.37</v>
      </c>
      <c r="F1747" s="6">
        <f>D1747</f>
        <v>334808.97</v>
      </c>
      <c r="G1747" s="6"/>
      <c r="H1747" s="6">
        <f>-27254.92-15698-14307.6</f>
        <v>-57260.52</v>
      </c>
    </row>
    <row r="1748" spans="1:8" ht="12.75">
      <c r="A1748" s="4">
        <v>2</v>
      </c>
      <c r="B1748" s="5" t="s">
        <v>21</v>
      </c>
      <c r="C1748" s="8"/>
      <c r="D1748" s="6"/>
      <c r="E1748" s="6"/>
      <c r="F1748" s="6"/>
      <c r="G1748" s="6"/>
      <c r="H1748" s="6"/>
    </row>
    <row r="1749" spans="1:8" ht="12.75">
      <c r="A1749" s="4">
        <v>3</v>
      </c>
      <c r="B1749" s="5" t="s">
        <v>22</v>
      </c>
      <c r="C1749" s="8"/>
      <c r="D1749" s="6">
        <v>136775.25</v>
      </c>
      <c r="E1749" s="6">
        <v>133763.22</v>
      </c>
      <c r="F1749" s="6">
        <f>D1749</f>
        <v>136775.25</v>
      </c>
      <c r="G1749" s="6"/>
      <c r="H1749" s="6">
        <f>-7865.63-4388-3012.03</f>
        <v>-15265.660000000002</v>
      </c>
    </row>
    <row r="1750" spans="1:8" ht="22.5">
      <c r="A1750" s="4">
        <v>4</v>
      </c>
      <c r="B1750" s="5" t="s">
        <v>23</v>
      </c>
      <c r="C1750" s="8"/>
      <c r="D1750" s="6"/>
      <c r="E1750" s="6"/>
      <c r="F1750" s="6"/>
      <c r="G1750" s="6"/>
      <c r="H1750" s="6"/>
    </row>
    <row r="1751" spans="1:8" ht="22.5">
      <c r="A1751" s="4">
        <v>5</v>
      </c>
      <c r="B1751" s="5" t="s">
        <v>24</v>
      </c>
      <c r="C1751" s="8">
        <v>56639.76</v>
      </c>
      <c r="D1751" s="6">
        <v>73540.2</v>
      </c>
      <c r="E1751" s="6">
        <f>'[1]текущий 2017'!$B$2381</f>
        <v>73937.11</v>
      </c>
      <c r="F1751" s="6">
        <f>'[1]текущий 2017'!$C$2382</f>
        <v>64844.770000000004</v>
      </c>
      <c r="G1751" s="6">
        <f>C1751+E1751-F1751</f>
        <v>65732.09999999999</v>
      </c>
      <c r="H1751" s="6">
        <v>-10682.38</v>
      </c>
    </row>
    <row r="1752" spans="1:8" ht="22.5">
      <c r="A1752" s="4">
        <v>6</v>
      </c>
      <c r="B1752" s="5" t="s">
        <v>25</v>
      </c>
      <c r="C1752" s="8">
        <v>50944.88</v>
      </c>
      <c r="D1752" s="6"/>
      <c r="E1752" s="6"/>
      <c r="F1752" s="6"/>
      <c r="G1752" s="6">
        <f>C1752+E1752-F1752</f>
        <v>50944.88</v>
      </c>
      <c r="H1752" s="6">
        <v>-4041.17</v>
      </c>
    </row>
    <row r="1753" spans="1:8" ht="22.5">
      <c r="A1753" s="4">
        <v>7</v>
      </c>
      <c r="B1753" s="5" t="s">
        <v>26</v>
      </c>
      <c r="C1753" s="5">
        <f aca="true" t="shared" si="45" ref="C1753:H1753">C1754+C1755+C1756+C1757</f>
        <v>0</v>
      </c>
      <c r="D1753" s="5">
        <f t="shared" si="45"/>
        <v>1555852.54</v>
      </c>
      <c r="E1753" s="8">
        <f t="shared" si="45"/>
        <v>1517071.26</v>
      </c>
      <c r="F1753" s="8">
        <f t="shared" si="45"/>
        <v>1518292.72</v>
      </c>
      <c r="G1753" s="5">
        <f t="shared" si="45"/>
        <v>0</v>
      </c>
      <c r="H1753" s="5">
        <f t="shared" si="45"/>
        <v>-354984.6</v>
      </c>
    </row>
    <row r="1754" spans="1:8" ht="12.75">
      <c r="A1754" s="4" t="s">
        <v>27</v>
      </c>
      <c r="B1754" s="5" t="s">
        <v>28</v>
      </c>
      <c r="C1754" s="5"/>
      <c r="D1754" s="4">
        <v>16231.36</v>
      </c>
      <c r="E1754" s="6">
        <v>15009.9</v>
      </c>
      <c r="F1754" s="6">
        <f>D1754</f>
        <v>16231.36</v>
      </c>
      <c r="G1754" s="4"/>
      <c r="H1754" s="4">
        <f>-1221.46</f>
        <v>-1221.46</v>
      </c>
    </row>
    <row r="1755" spans="1:8" ht="33.75">
      <c r="A1755" s="4" t="s">
        <v>29</v>
      </c>
      <c r="B1755" s="5" t="s">
        <v>30</v>
      </c>
      <c r="C1755" s="5"/>
      <c r="D1755" s="4">
        <v>293237.31</v>
      </c>
      <c r="E1755" s="6">
        <v>289312.94</v>
      </c>
      <c r="F1755" s="6">
        <f>E1755</f>
        <v>289312.94</v>
      </c>
      <c r="G1755" s="4">
        <f>E1755-F1755</f>
        <v>0</v>
      </c>
      <c r="H1755" s="4">
        <f>-16396.74-9847-3924.37</f>
        <v>-30168.11</v>
      </c>
    </row>
    <row r="1756" spans="1:8" ht="22.5">
      <c r="A1756" s="4" t="s">
        <v>31</v>
      </c>
      <c r="B1756" s="5" t="s">
        <v>32</v>
      </c>
      <c r="C1756" s="5"/>
      <c r="D1756" s="4">
        <v>433180.84</v>
      </c>
      <c r="E1756" s="6">
        <v>402655.63</v>
      </c>
      <c r="F1756" s="6">
        <f>E1756</f>
        <v>402655.63</v>
      </c>
      <c r="G1756" s="4"/>
      <c r="H1756" s="4">
        <f>-44313.9-5896-30525.21</f>
        <v>-80735.11</v>
      </c>
    </row>
    <row r="1757" spans="1:8" ht="22.5">
      <c r="A1757" s="4" t="s">
        <v>33</v>
      </c>
      <c r="B1757" s="5" t="s">
        <v>34</v>
      </c>
      <c r="C1757" s="5"/>
      <c r="D1757" s="4">
        <v>813203.03</v>
      </c>
      <c r="E1757" s="6">
        <v>810092.79</v>
      </c>
      <c r="F1757" s="6">
        <f>E1757</f>
        <v>810092.79</v>
      </c>
      <c r="G1757" s="4">
        <f>E1757-F1757</f>
        <v>0</v>
      </c>
      <c r="H1757" s="4">
        <f>-189293.68-50456-3110.24</f>
        <v>-242859.91999999998</v>
      </c>
    </row>
    <row r="1758" spans="1:8" ht="56.25">
      <c r="A1758" s="4"/>
      <c r="B1758" s="23" t="s">
        <v>389</v>
      </c>
      <c r="C1758" s="4">
        <v>21600</v>
      </c>
      <c r="D1758" s="4">
        <v>7200</v>
      </c>
      <c r="E1758" s="4">
        <v>7200</v>
      </c>
      <c r="F1758" s="4"/>
      <c r="G1758" s="4">
        <f>C1758+E1758</f>
        <v>28800</v>
      </c>
      <c r="H1758" s="4"/>
    </row>
    <row r="1759" spans="1:8" ht="12.75">
      <c r="A1759" s="4"/>
      <c r="B1759" s="4"/>
      <c r="C1759" s="4"/>
      <c r="D1759" s="4"/>
      <c r="E1759" s="4"/>
      <c r="F1759" s="4"/>
      <c r="G1759" s="4"/>
      <c r="H1759" s="4"/>
    </row>
    <row r="1762" ht="140.25" customHeight="1"/>
    <row r="1763" ht="12.75">
      <c r="A1763" t="s">
        <v>0</v>
      </c>
    </row>
    <row r="1764" ht="12.75">
      <c r="A1764" t="s">
        <v>291</v>
      </c>
    </row>
    <row r="1765" ht="12.75">
      <c r="A1765" t="s">
        <v>1</v>
      </c>
    </row>
    <row r="1766" ht="12.75">
      <c r="A1766" t="s">
        <v>416</v>
      </c>
    </row>
    <row r="1768" ht="12.75">
      <c r="A1768" t="s">
        <v>2</v>
      </c>
    </row>
    <row r="1770" ht="12.75">
      <c r="A1770" t="s">
        <v>185</v>
      </c>
    </row>
    <row r="1771" ht="12.75">
      <c r="A1771" t="s">
        <v>186</v>
      </c>
    </row>
    <row r="1772" ht="12.75">
      <c r="A1772" t="s">
        <v>4</v>
      </c>
    </row>
    <row r="1773" ht="12.75">
      <c r="A1773" t="s">
        <v>187</v>
      </c>
    </row>
    <row r="1774" ht="12.75">
      <c r="A1774" t="s">
        <v>183</v>
      </c>
    </row>
    <row r="1776" ht="12.75">
      <c r="A1776" t="s">
        <v>6</v>
      </c>
    </row>
    <row r="1777" ht="12.75">
      <c r="A1777" t="s">
        <v>7</v>
      </c>
    </row>
    <row r="1779" spans="1:8" ht="12.75">
      <c r="A1779" s="4" t="s">
        <v>8</v>
      </c>
      <c r="B1779" s="4" t="s">
        <v>13</v>
      </c>
      <c r="C1779" s="4" t="s">
        <v>9</v>
      </c>
      <c r="D1779" s="4" t="s">
        <v>10</v>
      </c>
      <c r="E1779" s="4" t="s">
        <v>15</v>
      </c>
      <c r="F1779" s="4" t="s">
        <v>16</v>
      </c>
      <c r="G1779" s="4" t="s">
        <v>9</v>
      </c>
      <c r="H1779" s="4" t="s">
        <v>11</v>
      </c>
    </row>
    <row r="1780" spans="1:8" ht="12.75">
      <c r="A1780" s="4"/>
      <c r="B1780" s="4"/>
      <c r="C1780" s="4" t="s">
        <v>417</v>
      </c>
      <c r="D1780" s="4" t="s">
        <v>418</v>
      </c>
      <c r="E1780" s="4" t="s">
        <v>14</v>
      </c>
      <c r="F1780" s="4" t="s">
        <v>17</v>
      </c>
      <c r="G1780" s="4" t="s">
        <v>420</v>
      </c>
      <c r="H1780" s="4" t="s">
        <v>12</v>
      </c>
    </row>
    <row r="1781" spans="1:8" ht="12.75">
      <c r="A1781" s="4"/>
      <c r="B1781" s="4"/>
      <c r="C1781" s="4"/>
      <c r="D1781" s="4"/>
      <c r="E1781" s="4" t="s">
        <v>419</v>
      </c>
      <c r="F1781" s="4" t="s">
        <v>419</v>
      </c>
      <c r="G1781" s="4"/>
      <c r="H1781" s="4" t="s">
        <v>421</v>
      </c>
    </row>
    <row r="1782" spans="1:8" ht="12.75">
      <c r="A1782" s="4"/>
      <c r="B1782" s="4"/>
      <c r="C1782" s="4"/>
      <c r="D1782" s="4"/>
      <c r="E1782" s="4"/>
      <c r="F1782" s="4"/>
      <c r="G1782" s="4"/>
      <c r="H1782" s="4"/>
    </row>
    <row r="1783" spans="1:8" ht="22.5">
      <c r="A1783" s="4">
        <v>1</v>
      </c>
      <c r="B1783" s="5" t="s">
        <v>18</v>
      </c>
      <c r="C1783" s="6"/>
      <c r="D1783" s="6">
        <v>329115.87</v>
      </c>
      <c r="E1783" s="6">
        <v>313039.28</v>
      </c>
      <c r="F1783" s="6">
        <f>D1783</f>
        <v>329115.87</v>
      </c>
      <c r="G1783" s="6"/>
      <c r="H1783" s="6">
        <f>-37478.16+6589-16076.59</f>
        <v>-46965.75</v>
      </c>
    </row>
    <row r="1784" spans="1:8" ht="12.75">
      <c r="A1784" s="4">
        <v>2</v>
      </c>
      <c r="B1784" s="5" t="s">
        <v>21</v>
      </c>
      <c r="C1784" s="8"/>
      <c r="D1784" s="6"/>
      <c r="E1784" s="6"/>
      <c r="F1784" s="6"/>
      <c r="G1784" s="6"/>
      <c r="H1784" s="6"/>
    </row>
    <row r="1785" spans="1:8" ht="12.75">
      <c r="A1785" s="4">
        <v>3</v>
      </c>
      <c r="B1785" s="5" t="s">
        <v>22</v>
      </c>
      <c r="C1785" s="8"/>
      <c r="D1785" s="6">
        <v>134513.13</v>
      </c>
      <c r="E1785" s="6">
        <v>132184.59</v>
      </c>
      <c r="F1785" s="6">
        <f>D1785</f>
        <v>134513.13</v>
      </c>
      <c r="G1785" s="6"/>
      <c r="H1785" s="6">
        <f>-12913.96+2587-2328.54</f>
        <v>-12655.5</v>
      </c>
    </row>
    <row r="1786" spans="1:8" ht="22.5">
      <c r="A1786" s="4">
        <v>4</v>
      </c>
      <c r="B1786" s="5" t="s">
        <v>23</v>
      </c>
      <c r="C1786" s="8"/>
      <c r="D1786" s="6"/>
      <c r="E1786" s="6"/>
      <c r="F1786" s="6"/>
      <c r="G1786" s="6"/>
      <c r="H1786" s="6"/>
    </row>
    <row r="1787" spans="1:8" ht="22.5">
      <c r="A1787" s="4">
        <v>5</v>
      </c>
      <c r="B1787" s="5" t="s">
        <v>24</v>
      </c>
      <c r="C1787" s="8">
        <v>-13595.77</v>
      </c>
      <c r="D1787" s="6">
        <v>114445.44</v>
      </c>
      <c r="E1787" s="6">
        <f>'[1]текущий 2017'!$B$2432</f>
        <v>225503.91</v>
      </c>
      <c r="F1787" s="6">
        <f>'[1]текущий 2017'!$C$2433</f>
        <v>12919.39</v>
      </c>
      <c r="G1787" s="6">
        <f>C1787+E1787-F1787</f>
        <v>198988.75</v>
      </c>
      <c r="H1787" s="6">
        <v>-17430.39</v>
      </c>
    </row>
    <row r="1788" spans="1:8" ht="22.5">
      <c r="A1788" s="4">
        <v>6</v>
      </c>
      <c r="B1788" s="5" t="s">
        <v>25</v>
      </c>
      <c r="C1788" s="8">
        <v>123446</v>
      </c>
      <c r="D1788" s="6"/>
      <c r="E1788" s="6"/>
      <c r="F1788" s="6">
        <v>123446</v>
      </c>
      <c r="G1788" s="6">
        <f>C1788+E1788-F1788</f>
        <v>0</v>
      </c>
      <c r="H1788" s="6">
        <v>1389.47</v>
      </c>
    </row>
    <row r="1789" spans="1:8" ht="22.5">
      <c r="A1789" s="4">
        <v>7</v>
      </c>
      <c r="B1789" s="5" t="s">
        <v>26</v>
      </c>
      <c r="C1789" s="5">
        <f aca="true" t="shared" si="46" ref="C1789:H1789">C1790+C1791+C1792+C1793</f>
        <v>0</v>
      </c>
      <c r="D1789" s="5">
        <f t="shared" si="46"/>
        <v>1486965.3900000001</v>
      </c>
      <c r="E1789" s="8">
        <f t="shared" si="46"/>
        <v>1472531.58</v>
      </c>
      <c r="F1789" s="8">
        <f t="shared" si="46"/>
        <v>1473466.62</v>
      </c>
      <c r="G1789" s="5">
        <f t="shared" si="46"/>
        <v>0</v>
      </c>
      <c r="H1789" s="5">
        <f t="shared" si="46"/>
        <v>-449849.56999999995</v>
      </c>
    </row>
    <row r="1790" spans="1:8" ht="12.75">
      <c r="A1790" s="4" t="s">
        <v>27</v>
      </c>
      <c r="B1790" s="5" t="s">
        <v>28</v>
      </c>
      <c r="C1790" s="5"/>
      <c r="D1790" s="4">
        <v>27444.93</v>
      </c>
      <c r="E1790" s="6">
        <v>26509.89</v>
      </c>
      <c r="F1790" s="6">
        <f>D1790</f>
        <v>27444.93</v>
      </c>
      <c r="G1790" s="4"/>
      <c r="H1790" s="4">
        <f>-935</f>
        <v>-935</v>
      </c>
    </row>
    <row r="1791" spans="1:8" ht="33.75">
      <c r="A1791" s="4" t="s">
        <v>29</v>
      </c>
      <c r="B1791" s="5" t="s">
        <v>30</v>
      </c>
      <c r="C1791" s="5"/>
      <c r="D1791" s="4">
        <v>282177.77</v>
      </c>
      <c r="E1791" s="6">
        <v>278601.05</v>
      </c>
      <c r="F1791" s="6">
        <f>E1791</f>
        <v>278601.05</v>
      </c>
      <c r="G1791" s="4">
        <f>E1791-F1791</f>
        <v>0</v>
      </c>
      <c r="H1791" s="4">
        <f>-94105.94+583-3576.72</f>
        <v>-97099.66</v>
      </c>
    </row>
    <row r="1792" spans="1:8" ht="22.5">
      <c r="A1792" s="4" t="s">
        <v>31</v>
      </c>
      <c r="B1792" s="5" t="s">
        <v>32</v>
      </c>
      <c r="C1792" s="5"/>
      <c r="D1792" s="4">
        <v>353426.67</v>
      </c>
      <c r="E1792" s="6">
        <v>348820.53</v>
      </c>
      <c r="F1792" s="6">
        <f>E1792</f>
        <v>348820.53</v>
      </c>
      <c r="G1792" s="4"/>
      <c r="H1792" s="4">
        <f>-65217.14+14896-4606.14</f>
        <v>-54927.28</v>
      </c>
    </row>
    <row r="1793" spans="1:8" ht="22.5">
      <c r="A1793" s="4" t="s">
        <v>33</v>
      </c>
      <c r="B1793" s="5" t="s">
        <v>34</v>
      </c>
      <c r="C1793" s="5"/>
      <c r="D1793" s="4">
        <v>823916.02</v>
      </c>
      <c r="E1793" s="6">
        <v>818600.11</v>
      </c>
      <c r="F1793" s="6">
        <f>E1793</f>
        <v>818600.11</v>
      </c>
      <c r="G1793" s="4">
        <f>E1793-F1793</f>
        <v>0</v>
      </c>
      <c r="H1793" s="4">
        <f>-286541.72-5030-5315.91</f>
        <v>-296887.62999999995</v>
      </c>
    </row>
    <row r="1794" spans="1:8" ht="56.25">
      <c r="A1794" s="4"/>
      <c r="B1794" s="23" t="s">
        <v>389</v>
      </c>
      <c r="C1794" s="4">
        <v>10800</v>
      </c>
      <c r="D1794" s="4">
        <v>3600</v>
      </c>
      <c r="E1794" s="4">
        <v>3600</v>
      </c>
      <c r="F1794" s="4"/>
      <c r="G1794" s="4">
        <f>C1794+E1794</f>
        <v>14400</v>
      </c>
      <c r="H1794" s="4"/>
    </row>
    <row r="1795" spans="1:8" ht="12.75">
      <c r="A1795" s="4"/>
      <c r="B1795" s="4"/>
      <c r="C1795" s="4"/>
      <c r="D1795" s="4"/>
      <c r="E1795" s="4"/>
      <c r="F1795" s="4"/>
      <c r="G1795" s="4"/>
      <c r="H1795" s="4"/>
    </row>
    <row r="1798" ht="140.25" customHeight="1"/>
    <row r="1799" ht="12.75">
      <c r="A1799" t="s">
        <v>0</v>
      </c>
    </row>
    <row r="1800" ht="12.75">
      <c r="A1800" t="s">
        <v>291</v>
      </c>
    </row>
    <row r="1801" ht="12.75">
      <c r="A1801" t="s">
        <v>1</v>
      </c>
    </row>
    <row r="1802" ht="12.75">
      <c r="A1802" t="s">
        <v>416</v>
      </c>
    </row>
    <row r="1804" ht="12.75">
      <c r="A1804" t="s">
        <v>2</v>
      </c>
    </row>
    <row r="1806" ht="12.75">
      <c r="A1806" t="s">
        <v>188</v>
      </c>
    </row>
    <row r="1807" ht="12.75">
      <c r="A1807" t="s">
        <v>415</v>
      </c>
    </row>
    <row r="1808" ht="12.75">
      <c r="A1808" t="s">
        <v>4</v>
      </c>
    </row>
    <row r="1809" ht="12.75">
      <c r="A1809" t="s">
        <v>189</v>
      </c>
    </row>
    <row r="1810" ht="12.75">
      <c r="A1810" t="s">
        <v>184</v>
      </c>
    </row>
    <row r="1812" ht="12.75">
      <c r="A1812" t="s">
        <v>6</v>
      </c>
    </row>
    <row r="1813" ht="12.75">
      <c r="A1813" t="s">
        <v>7</v>
      </c>
    </row>
    <row r="1815" spans="1:8" ht="12.75">
      <c r="A1815" s="4" t="s">
        <v>8</v>
      </c>
      <c r="B1815" s="4" t="s">
        <v>13</v>
      </c>
      <c r="C1815" s="4" t="s">
        <v>9</v>
      </c>
      <c r="D1815" s="4" t="s">
        <v>10</v>
      </c>
      <c r="E1815" s="4" t="s">
        <v>15</v>
      </c>
      <c r="F1815" s="4" t="s">
        <v>16</v>
      </c>
      <c r="G1815" s="4" t="s">
        <v>9</v>
      </c>
      <c r="H1815" s="4" t="s">
        <v>11</v>
      </c>
    </row>
    <row r="1816" spans="1:8" ht="12.75">
      <c r="A1816" s="4"/>
      <c r="B1816" s="4"/>
      <c r="C1816" s="4" t="s">
        <v>417</v>
      </c>
      <c r="D1816" s="4" t="s">
        <v>418</v>
      </c>
      <c r="E1816" s="4" t="s">
        <v>14</v>
      </c>
      <c r="F1816" s="4" t="s">
        <v>17</v>
      </c>
      <c r="G1816" s="4" t="s">
        <v>420</v>
      </c>
      <c r="H1816" s="4" t="s">
        <v>12</v>
      </c>
    </row>
    <row r="1817" spans="1:8" ht="12.75">
      <c r="A1817" s="4"/>
      <c r="B1817" s="4"/>
      <c r="C1817" s="4"/>
      <c r="D1817" s="4"/>
      <c r="E1817" s="4" t="s">
        <v>419</v>
      </c>
      <c r="F1817" s="4" t="s">
        <v>419</v>
      </c>
      <c r="G1817" s="4"/>
      <c r="H1817" s="4" t="s">
        <v>421</v>
      </c>
    </row>
    <row r="1818" spans="1:8" ht="12.75">
      <c r="A1818" s="4"/>
      <c r="B1818" s="4"/>
      <c r="C1818" s="4"/>
      <c r="D1818" s="4"/>
      <c r="E1818" s="4"/>
      <c r="F1818" s="4"/>
      <c r="G1818" s="4"/>
      <c r="H1818" s="4"/>
    </row>
    <row r="1819" spans="1:8" ht="22.5">
      <c r="A1819" s="4">
        <v>1</v>
      </c>
      <c r="B1819" s="5" t="s">
        <v>18</v>
      </c>
      <c r="C1819" s="6"/>
      <c r="D1819" s="6">
        <v>193837.81</v>
      </c>
      <c r="E1819" s="6">
        <v>181992.31</v>
      </c>
      <c r="F1819" s="6">
        <f>D1819</f>
        <v>193837.81</v>
      </c>
      <c r="G1819" s="6"/>
      <c r="H1819" s="6">
        <f>-29394.24-1200-11845.5</f>
        <v>-42439.740000000005</v>
      </c>
    </row>
    <row r="1820" spans="1:8" ht="12.75">
      <c r="A1820" s="4">
        <v>2</v>
      </c>
      <c r="B1820" s="5" t="s">
        <v>21</v>
      </c>
      <c r="C1820" s="8"/>
      <c r="D1820" s="6"/>
      <c r="E1820" s="6"/>
      <c r="F1820" s="6"/>
      <c r="G1820" s="6"/>
      <c r="H1820" s="6"/>
    </row>
    <row r="1821" spans="1:8" ht="12.75">
      <c r="A1821" s="4">
        <v>3</v>
      </c>
      <c r="B1821" s="5" t="s">
        <v>22</v>
      </c>
      <c r="C1821" s="8"/>
      <c r="D1821" s="6">
        <v>81073.35</v>
      </c>
      <c r="E1821" s="6">
        <v>79445.18</v>
      </c>
      <c r="F1821" s="6">
        <f>D1821</f>
        <v>81073.35</v>
      </c>
      <c r="G1821" s="6"/>
      <c r="H1821" s="6">
        <f>-1797.16-520-1628.17</f>
        <v>-3945.33</v>
      </c>
    </row>
    <row r="1822" spans="1:8" ht="22.5">
      <c r="A1822" s="4">
        <v>4</v>
      </c>
      <c r="B1822" s="5" t="s">
        <v>23</v>
      </c>
      <c r="C1822" s="8"/>
      <c r="D1822" s="6"/>
      <c r="E1822" s="6"/>
      <c r="F1822" s="6"/>
      <c r="G1822" s="6"/>
      <c r="H1822" s="6"/>
    </row>
    <row r="1823" spans="1:8" ht="22.5">
      <c r="A1823" s="4">
        <v>5</v>
      </c>
      <c r="B1823" s="5" t="s">
        <v>24</v>
      </c>
      <c r="C1823" s="8">
        <v>59143.89</v>
      </c>
      <c r="D1823" s="6">
        <v>39519.84</v>
      </c>
      <c r="E1823" s="6">
        <f>'[1]текущий 2017'!$B$2483</f>
        <v>39378.880000000005</v>
      </c>
      <c r="F1823" s="6">
        <f>'[1]текущий 2017'!$C$2484</f>
        <v>3818.2700000000004</v>
      </c>
      <c r="G1823" s="6">
        <f>C1823+E1823-F1823</f>
        <v>94704.5</v>
      </c>
      <c r="H1823" s="6">
        <v>-4311.09</v>
      </c>
    </row>
    <row r="1824" spans="1:8" ht="22.5">
      <c r="A1824" s="4">
        <v>6</v>
      </c>
      <c r="B1824" s="5" t="s">
        <v>25</v>
      </c>
      <c r="C1824" s="8">
        <v>-2520.88</v>
      </c>
      <c r="D1824" s="6"/>
      <c r="E1824" s="6">
        <v>0</v>
      </c>
      <c r="F1824" s="6"/>
      <c r="G1824" s="6">
        <f>C1824+E1824-F1824</f>
        <v>-2520.88</v>
      </c>
      <c r="H1824" s="6">
        <v>-3115.18</v>
      </c>
    </row>
    <row r="1825" spans="1:8" ht="22.5">
      <c r="A1825" s="4">
        <v>7</v>
      </c>
      <c r="B1825" s="5" t="s">
        <v>26</v>
      </c>
      <c r="C1825" s="5"/>
      <c r="D1825" s="5">
        <f>D1826+D1827+D1828+D1829</f>
        <v>763900.51</v>
      </c>
      <c r="E1825" s="8">
        <f>E1826+E1827+E1828+E1829</f>
        <v>748273.54</v>
      </c>
      <c r="F1825" s="8">
        <f>F1826+F1827+F1828+F1829</f>
        <v>748298.0800000001</v>
      </c>
      <c r="G1825" s="5">
        <f>G1826+G1827+G1828+G1829</f>
        <v>0</v>
      </c>
      <c r="H1825" s="5">
        <f>H1826+H1827+H1828+H1829</f>
        <v>-138870.78</v>
      </c>
    </row>
    <row r="1826" spans="1:8" ht="12.75">
      <c r="A1826" s="4" t="s">
        <v>27</v>
      </c>
      <c r="B1826" s="5" t="s">
        <v>28</v>
      </c>
      <c r="C1826" s="5"/>
      <c r="D1826" s="4">
        <v>6665.59</v>
      </c>
      <c r="E1826" s="6">
        <v>6641.05</v>
      </c>
      <c r="F1826" s="6">
        <f>D1826</f>
        <v>6665.59</v>
      </c>
      <c r="G1826" s="4"/>
      <c r="H1826" s="4">
        <f>-24.64</f>
        <v>-24.64</v>
      </c>
    </row>
    <row r="1827" spans="1:8" ht="33.75">
      <c r="A1827" s="4" t="s">
        <v>29</v>
      </c>
      <c r="B1827" s="5" t="s">
        <v>30</v>
      </c>
      <c r="C1827" s="5"/>
      <c r="D1827" s="4">
        <v>239444.8</v>
      </c>
      <c r="E1827" s="6">
        <v>237639.4</v>
      </c>
      <c r="F1827" s="6">
        <f>E1827</f>
        <v>237639.4</v>
      </c>
      <c r="G1827" s="4">
        <f>E1827-F1827</f>
        <v>0</v>
      </c>
      <c r="H1827" s="4">
        <f>-12533.96-816-1805.4</f>
        <v>-15155.359999999999</v>
      </c>
    </row>
    <row r="1828" spans="1:8" ht="22.5">
      <c r="A1828" s="4" t="s">
        <v>31</v>
      </c>
      <c r="B1828" s="5" t="s">
        <v>32</v>
      </c>
      <c r="C1828" s="5"/>
      <c r="D1828" s="4"/>
      <c r="E1828" s="6"/>
      <c r="F1828" s="6"/>
      <c r="G1828" s="4"/>
      <c r="H1828" s="4"/>
    </row>
    <row r="1829" spans="1:8" ht="22.5">
      <c r="A1829" s="4" t="s">
        <v>33</v>
      </c>
      <c r="B1829" s="5" t="s">
        <v>34</v>
      </c>
      <c r="C1829" s="5"/>
      <c r="D1829" s="4">
        <v>517790.12</v>
      </c>
      <c r="E1829" s="6">
        <v>503993.09</v>
      </c>
      <c r="F1829" s="6">
        <f>E1829</f>
        <v>503993.09</v>
      </c>
      <c r="G1829" s="4">
        <f>E1829-F1829</f>
        <v>0</v>
      </c>
      <c r="H1829" s="4">
        <f>-97324.75-12569-13797.03</f>
        <v>-123690.78</v>
      </c>
    </row>
    <row r="1830" spans="1:8" ht="56.25">
      <c r="A1830" s="4"/>
      <c r="B1830" s="23" t="s">
        <v>389</v>
      </c>
      <c r="C1830" s="4">
        <v>5400</v>
      </c>
      <c r="D1830" s="4">
        <v>1800</v>
      </c>
      <c r="E1830" s="4">
        <v>1800</v>
      </c>
      <c r="F1830" s="4"/>
      <c r="G1830" s="4">
        <f>C1830+E1830</f>
        <v>7200</v>
      </c>
      <c r="H1830" s="4"/>
    </row>
    <row r="1831" spans="1:8" ht="12.75">
      <c r="A1831" s="4"/>
      <c r="B1831" s="4"/>
      <c r="C1831" s="4"/>
      <c r="D1831" s="4"/>
      <c r="E1831" s="4"/>
      <c r="F1831" s="4"/>
      <c r="G1831" s="4"/>
      <c r="H1831" s="4"/>
    </row>
    <row r="1834" ht="139.5" customHeight="1"/>
    <row r="1835" ht="12.75">
      <c r="A1835" t="s">
        <v>0</v>
      </c>
    </row>
    <row r="1836" ht="12.75">
      <c r="A1836" t="s">
        <v>291</v>
      </c>
    </row>
    <row r="1837" ht="12.75">
      <c r="A1837" t="s">
        <v>1</v>
      </c>
    </row>
    <row r="1838" ht="12.75">
      <c r="A1838" t="s">
        <v>416</v>
      </c>
    </row>
    <row r="1840" ht="12.75">
      <c r="A1840" t="s">
        <v>2</v>
      </c>
    </row>
    <row r="1842" ht="12.75">
      <c r="A1842" t="s">
        <v>190</v>
      </c>
    </row>
    <row r="1843" ht="12.75">
      <c r="A1843" t="s">
        <v>191</v>
      </c>
    </row>
    <row r="1844" ht="12.75">
      <c r="A1844" t="s">
        <v>4</v>
      </c>
    </row>
    <row r="1845" ht="12.75">
      <c r="A1845" t="s">
        <v>192</v>
      </c>
    </row>
    <row r="1846" ht="12.75">
      <c r="A1846" t="s">
        <v>184</v>
      </c>
    </row>
    <row r="1848" ht="12.75">
      <c r="A1848" t="s">
        <v>6</v>
      </c>
    </row>
    <row r="1849" ht="12.75">
      <c r="A1849" t="s">
        <v>7</v>
      </c>
    </row>
    <row r="1851" spans="1:8" ht="12.75">
      <c r="A1851" s="4" t="s">
        <v>8</v>
      </c>
      <c r="B1851" s="4" t="s">
        <v>13</v>
      </c>
      <c r="C1851" s="4" t="s">
        <v>9</v>
      </c>
      <c r="D1851" s="4" t="s">
        <v>10</v>
      </c>
      <c r="E1851" s="4" t="s">
        <v>15</v>
      </c>
      <c r="F1851" s="4" t="s">
        <v>16</v>
      </c>
      <c r="G1851" s="4" t="s">
        <v>9</v>
      </c>
      <c r="H1851" s="4" t="s">
        <v>11</v>
      </c>
    </row>
    <row r="1852" spans="1:8" ht="12.75">
      <c r="A1852" s="4"/>
      <c r="B1852" s="4"/>
      <c r="C1852" s="4" t="s">
        <v>417</v>
      </c>
      <c r="D1852" s="4" t="s">
        <v>418</v>
      </c>
      <c r="E1852" s="4" t="s">
        <v>14</v>
      </c>
      <c r="F1852" s="4" t="s">
        <v>17</v>
      </c>
      <c r="G1852" s="4" t="s">
        <v>420</v>
      </c>
      <c r="H1852" s="4" t="s">
        <v>12</v>
      </c>
    </row>
    <row r="1853" spans="1:8" ht="12.75">
      <c r="A1853" s="4"/>
      <c r="B1853" s="4"/>
      <c r="C1853" s="4"/>
      <c r="D1853" s="4"/>
      <c r="E1853" s="4" t="s">
        <v>419</v>
      </c>
      <c r="F1853" s="4" t="s">
        <v>419</v>
      </c>
      <c r="G1853" s="4"/>
      <c r="H1853" s="4" t="s">
        <v>421</v>
      </c>
    </row>
    <row r="1854" spans="1:8" ht="12.75">
      <c r="A1854" s="4"/>
      <c r="B1854" s="4"/>
      <c r="C1854" s="4"/>
      <c r="D1854" s="4"/>
      <c r="E1854" s="4"/>
      <c r="F1854" s="4"/>
      <c r="G1854" s="4"/>
      <c r="H1854" s="4"/>
    </row>
    <row r="1855" spans="1:8" ht="22.5">
      <c r="A1855" s="4">
        <v>1</v>
      </c>
      <c r="B1855" s="5" t="s">
        <v>18</v>
      </c>
      <c r="C1855" s="6"/>
      <c r="D1855" s="6">
        <v>436220.58</v>
      </c>
      <c r="E1855" s="6">
        <v>430136.56</v>
      </c>
      <c r="F1855" s="6">
        <f>D1855</f>
        <v>436220.58</v>
      </c>
      <c r="G1855" s="6"/>
      <c r="H1855" s="6">
        <f>-68900.78-1148-6084.02</f>
        <v>-76132.8</v>
      </c>
    </row>
    <row r="1856" spans="1:8" ht="12.75">
      <c r="A1856" s="4">
        <v>2</v>
      </c>
      <c r="B1856" s="5" t="s">
        <v>21</v>
      </c>
      <c r="C1856" s="8"/>
      <c r="D1856" s="6"/>
      <c r="E1856" s="6"/>
      <c r="F1856" s="6"/>
      <c r="G1856" s="6"/>
      <c r="H1856" s="6"/>
    </row>
    <row r="1857" spans="1:8" ht="12.75">
      <c r="A1857" s="4">
        <v>3</v>
      </c>
      <c r="B1857" s="5" t="s">
        <v>22</v>
      </c>
      <c r="C1857" s="8"/>
      <c r="D1857" s="6">
        <v>189764.76</v>
      </c>
      <c r="E1857" s="6">
        <v>188743.96</v>
      </c>
      <c r="F1857" s="6">
        <f>D1857</f>
        <v>189764.76</v>
      </c>
      <c r="G1857" s="6"/>
      <c r="H1857" s="6">
        <f>-24086.8+623-1020.8</f>
        <v>-24484.6</v>
      </c>
    </row>
    <row r="1858" spans="1:8" ht="22.5">
      <c r="A1858" s="4">
        <v>4</v>
      </c>
      <c r="B1858" s="5" t="s">
        <v>23</v>
      </c>
      <c r="C1858" s="8"/>
      <c r="D1858" s="6"/>
      <c r="E1858" s="6"/>
      <c r="F1858" s="6"/>
      <c r="G1858" s="6"/>
      <c r="H1858" s="6"/>
    </row>
    <row r="1859" spans="1:8" ht="22.5">
      <c r="A1859" s="4">
        <v>5</v>
      </c>
      <c r="B1859" s="5" t="s">
        <v>24</v>
      </c>
      <c r="C1859" s="8">
        <v>73599.91</v>
      </c>
      <c r="D1859" s="6">
        <v>92502.84</v>
      </c>
      <c r="E1859" s="6">
        <f>'[1]текущий 2017'!$B$2534</f>
        <v>91535.12</v>
      </c>
      <c r="F1859" s="6">
        <f>'[1]текущий 2017'!$C$2535</f>
        <v>104518.16</v>
      </c>
      <c r="G1859" s="6">
        <f>E1859-F1859+C1859</f>
        <v>60616.869999999995</v>
      </c>
      <c r="H1859" s="6">
        <v>-25366.27</v>
      </c>
    </row>
    <row r="1860" spans="1:8" ht="22.5">
      <c r="A1860" s="4">
        <v>6</v>
      </c>
      <c r="B1860" s="5" t="s">
        <v>25</v>
      </c>
      <c r="C1860" s="8">
        <v>-67317.71</v>
      </c>
      <c r="D1860" s="6"/>
      <c r="E1860" s="6">
        <v>67317.71</v>
      </c>
      <c r="F1860" s="6"/>
      <c r="G1860" s="6">
        <v>0</v>
      </c>
      <c r="H1860" s="6">
        <v>88.5</v>
      </c>
    </row>
    <row r="1861" spans="1:8" ht="22.5">
      <c r="A1861" s="4">
        <v>6.1</v>
      </c>
      <c r="B1861" s="5" t="s">
        <v>408</v>
      </c>
      <c r="C1861" s="8">
        <v>181302</v>
      </c>
      <c r="D1861" s="6"/>
      <c r="E1861" s="6"/>
      <c r="F1861" s="6"/>
      <c r="G1861" s="6"/>
      <c r="H1861" s="6">
        <v>88.5</v>
      </c>
    </row>
    <row r="1862" spans="1:8" ht="22.5">
      <c r="A1862" s="4">
        <v>7</v>
      </c>
      <c r="B1862" s="5" t="s">
        <v>26</v>
      </c>
      <c r="C1862" s="5">
        <f aca="true" t="shared" si="47" ref="C1862:H1862">C1863+C1864+C1865+C1866</f>
        <v>0</v>
      </c>
      <c r="D1862" s="8">
        <f t="shared" si="47"/>
        <v>1915594.49</v>
      </c>
      <c r="E1862" s="8">
        <f t="shared" si="47"/>
        <v>1895247.0899999999</v>
      </c>
      <c r="F1862" s="8">
        <f t="shared" si="47"/>
        <v>1897267.78</v>
      </c>
      <c r="G1862" s="5">
        <f t="shared" si="47"/>
        <v>0</v>
      </c>
      <c r="H1862" s="5">
        <f t="shared" si="47"/>
        <v>-706212.5900000001</v>
      </c>
    </row>
    <row r="1863" spans="1:8" ht="12.75">
      <c r="A1863" s="4" t="s">
        <v>27</v>
      </c>
      <c r="B1863" s="5" t="s">
        <v>28</v>
      </c>
      <c r="C1863" s="5"/>
      <c r="D1863" s="4">
        <v>44974.19</v>
      </c>
      <c r="E1863" s="6">
        <v>42953.5</v>
      </c>
      <c r="F1863" s="6">
        <f>D1863</f>
        <v>44974.19</v>
      </c>
      <c r="G1863" s="4"/>
      <c r="H1863" s="4">
        <f>-2020.69</f>
        <v>-2020.69</v>
      </c>
    </row>
    <row r="1864" spans="1:8" ht="33.75">
      <c r="A1864" s="4" t="s">
        <v>29</v>
      </c>
      <c r="B1864" s="5" t="s">
        <v>30</v>
      </c>
      <c r="C1864" s="5"/>
      <c r="D1864" s="4">
        <v>542073.52</v>
      </c>
      <c r="E1864" s="6">
        <v>530560.82</v>
      </c>
      <c r="F1864" s="6">
        <f>E1864</f>
        <v>530560.82</v>
      </c>
      <c r="G1864" s="4">
        <f>E1864-F1864</f>
        <v>0</v>
      </c>
      <c r="H1864" s="4">
        <f>-189616.99-10256-11512.7</f>
        <v>-211385.69</v>
      </c>
    </row>
    <row r="1865" spans="1:8" ht="22.5">
      <c r="A1865" s="4" t="s">
        <v>31</v>
      </c>
      <c r="B1865" s="5" t="s">
        <v>32</v>
      </c>
      <c r="C1865" s="5"/>
      <c r="D1865" s="4"/>
      <c r="E1865" s="6"/>
      <c r="F1865" s="6"/>
      <c r="G1865" s="4"/>
      <c r="H1865" s="4"/>
    </row>
    <row r="1866" spans="1:8" ht="22.5">
      <c r="A1866" s="4" t="s">
        <v>33</v>
      </c>
      <c r="B1866" s="5" t="s">
        <v>34</v>
      </c>
      <c r="C1866" s="5"/>
      <c r="D1866" s="4">
        <v>1328546.78</v>
      </c>
      <c r="E1866" s="6">
        <v>1321732.77</v>
      </c>
      <c r="F1866" s="6">
        <f>E1866</f>
        <v>1321732.77</v>
      </c>
      <c r="G1866" s="4">
        <f>E1866-F1866</f>
        <v>0</v>
      </c>
      <c r="H1866" s="4">
        <f>-427029.2-58963-6814.01</f>
        <v>-492806.21</v>
      </c>
    </row>
    <row r="1867" spans="1:8" ht="56.25">
      <c r="A1867" s="4"/>
      <c r="B1867" s="23" t="s">
        <v>389</v>
      </c>
      <c r="C1867" s="4">
        <v>5400</v>
      </c>
      <c r="D1867" s="4">
        <v>1800</v>
      </c>
      <c r="E1867" s="4">
        <v>1800</v>
      </c>
      <c r="F1867" s="4"/>
      <c r="G1867" s="4">
        <f>C1867+E1867</f>
        <v>7200</v>
      </c>
      <c r="H1867" s="4"/>
    </row>
    <row r="1868" spans="1:8" ht="12.75">
      <c r="A1868" s="4"/>
      <c r="B1868" s="4"/>
      <c r="C1868" s="4"/>
      <c r="D1868" s="4"/>
      <c r="E1868" s="4"/>
      <c r="F1868" s="4"/>
      <c r="G1868" s="4"/>
      <c r="H1868" s="4"/>
    </row>
    <row r="1872" ht="100.5" customHeight="1"/>
    <row r="1873" ht="12.75">
      <c r="A1873" t="s">
        <v>0</v>
      </c>
    </row>
    <row r="1874" ht="12.75">
      <c r="A1874" t="s">
        <v>291</v>
      </c>
    </row>
    <row r="1875" ht="12.75">
      <c r="A1875" t="s">
        <v>1</v>
      </c>
    </row>
    <row r="1876" ht="12.75">
      <c r="A1876" t="s">
        <v>416</v>
      </c>
    </row>
    <row r="1878" ht="12.75">
      <c r="A1878" t="s">
        <v>2</v>
      </c>
    </row>
    <row r="1880" ht="12.75">
      <c r="A1880" t="s">
        <v>193</v>
      </c>
    </row>
    <row r="1881" ht="12.75">
      <c r="A1881" t="s">
        <v>194</v>
      </c>
    </row>
    <row r="1882" ht="12.75">
      <c r="A1882" t="s">
        <v>4</v>
      </c>
    </row>
    <row r="1883" ht="12.75">
      <c r="A1883" t="s">
        <v>195</v>
      </c>
    </row>
    <row r="1884" ht="12.75">
      <c r="A1884" t="s">
        <v>184</v>
      </c>
    </row>
    <row r="1886" ht="12.75">
      <c r="A1886" t="s">
        <v>6</v>
      </c>
    </row>
    <row r="1887" ht="12.75">
      <c r="A1887" t="s">
        <v>7</v>
      </c>
    </row>
    <row r="1889" spans="1:8" ht="12.75">
      <c r="A1889" s="4" t="s">
        <v>8</v>
      </c>
      <c r="B1889" s="4" t="s">
        <v>13</v>
      </c>
      <c r="C1889" s="4" t="s">
        <v>9</v>
      </c>
      <c r="D1889" s="4" t="s">
        <v>10</v>
      </c>
      <c r="E1889" s="4" t="s">
        <v>15</v>
      </c>
      <c r="F1889" s="4" t="s">
        <v>16</v>
      </c>
      <c r="G1889" s="4" t="s">
        <v>9</v>
      </c>
      <c r="H1889" s="4" t="s">
        <v>11</v>
      </c>
    </row>
    <row r="1890" spans="1:8" ht="12.75">
      <c r="A1890" s="4"/>
      <c r="B1890" s="4"/>
      <c r="C1890" s="4" t="s">
        <v>417</v>
      </c>
      <c r="D1890" s="4" t="s">
        <v>418</v>
      </c>
      <c r="E1890" s="4" t="s">
        <v>14</v>
      </c>
      <c r="F1890" s="4" t="s">
        <v>17</v>
      </c>
      <c r="G1890" s="4" t="s">
        <v>420</v>
      </c>
      <c r="H1890" s="4" t="s">
        <v>12</v>
      </c>
    </row>
    <row r="1891" spans="1:8" ht="12.75">
      <c r="A1891" s="4"/>
      <c r="B1891" s="4"/>
      <c r="C1891" s="4"/>
      <c r="D1891" s="4"/>
      <c r="E1891" s="4" t="s">
        <v>419</v>
      </c>
      <c r="F1891" s="4" t="s">
        <v>419</v>
      </c>
      <c r="G1891" s="4"/>
      <c r="H1891" s="4" t="s">
        <v>421</v>
      </c>
    </row>
    <row r="1892" spans="1:8" ht="12.75">
      <c r="A1892" s="4"/>
      <c r="B1892" s="4"/>
      <c r="C1892" s="4"/>
      <c r="D1892" s="4"/>
      <c r="E1892" s="4"/>
      <c r="F1892" s="4"/>
      <c r="G1892" s="4"/>
      <c r="H1892" s="4"/>
    </row>
    <row r="1893" spans="1:8" ht="22.5">
      <c r="A1893" s="4">
        <v>1</v>
      </c>
      <c r="B1893" s="5" t="s">
        <v>18</v>
      </c>
      <c r="C1893" s="6"/>
      <c r="D1893" s="6">
        <v>313866.35</v>
      </c>
      <c r="E1893" s="6">
        <v>301486.57</v>
      </c>
      <c r="F1893" s="6">
        <f>D1893</f>
        <v>313866.35</v>
      </c>
      <c r="G1893" s="6"/>
      <c r="H1893" s="6">
        <f>-83136.21+21458-12379.78</f>
        <v>-74057.99</v>
      </c>
    </row>
    <row r="1894" spans="1:8" ht="12.75">
      <c r="A1894" s="4">
        <v>2</v>
      </c>
      <c r="B1894" s="5" t="s">
        <v>21</v>
      </c>
      <c r="C1894" s="8"/>
      <c r="D1894" s="6"/>
      <c r="E1894" s="6"/>
      <c r="F1894" s="6"/>
      <c r="G1894" s="6"/>
      <c r="H1894" s="6"/>
    </row>
    <row r="1895" spans="1:8" ht="12.75">
      <c r="A1895" s="4">
        <v>3</v>
      </c>
      <c r="B1895" s="5" t="s">
        <v>22</v>
      </c>
      <c r="C1895" s="8"/>
      <c r="D1895" s="6">
        <v>134980.44</v>
      </c>
      <c r="E1895" s="6">
        <v>133708.85</v>
      </c>
      <c r="F1895" s="6">
        <f>D1895</f>
        <v>134980.44</v>
      </c>
      <c r="G1895" s="6"/>
      <c r="H1895" s="6">
        <f>-29066.66+8563-1271.59</f>
        <v>-21775.25</v>
      </c>
    </row>
    <row r="1896" spans="1:8" ht="22.5">
      <c r="A1896" s="4">
        <v>4</v>
      </c>
      <c r="B1896" s="5" t="s">
        <v>23</v>
      </c>
      <c r="C1896" s="8"/>
      <c r="D1896" s="6"/>
      <c r="E1896" s="6"/>
      <c r="F1896" s="6"/>
      <c r="G1896" s="6"/>
      <c r="H1896" s="6"/>
    </row>
    <row r="1897" spans="1:8" ht="22.5">
      <c r="A1897" s="4">
        <v>5</v>
      </c>
      <c r="B1897" s="5" t="s">
        <v>24</v>
      </c>
      <c r="C1897" s="8">
        <v>5607.45</v>
      </c>
      <c r="D1897" s="6">
        <v>65797.44</v>
      </c>
      <c r="E1897" s="6">
        <f>'[1]текущий 2017'!$B$2585</f>
        <v>69540.45</v>
      </c>
      <c r="F1897" s="6">
        <f>'[1]текущий 2017'!$C$2586</f>
        <v>62224.060000000005</v>
      </c>
      <c r="G1897" s="6">
        <f>E1897-F1897+C1897</f>
        <v>12923.839999999993</v>
      </c>
      <c r="H1897" s="6">
        <v>-62569.69</v>
      </c>
    </row>
    <row r="1898" spans="1:8" ht="22.5">
      <c r="A1898" s="4">
        <v>6</v>
      </c>
      <c r="B1898" s="5" t="s">
        <v>25</v>
      </c>
      <c r="C1898" s="8">
        <v>0</v>
      </c>
      <c r="D1898" s="6"/>
      <c r="E1898" s="6"/>
      <c r="F1898" s="6"/>
      <c r="G1898" s="6">
        <v>0</v>
      </c>
      <c r="H1898" s="6">
        <v>-12962.96</v>
      </c>
    </row>
    <row r="1899" spans="1:8" ht="22.5">
      <c r="A1899" s="4">
        <v>6.1</v>
      </c>
      <c r="B1899" s="5" t="s">
        <v>391</v>
      </c>
      <c r="C1899" s="8">
        <v>125230</v>
      </c>
      <c r="D1899" s="6"/>
      <c r="E1899" s="6"/>
      <c r="F1899" s="6"/>
      <c r="G1899" s="6"/>
      <c r="H1899" s="6">
        <v>-12962.96</v>
      </c>
    </row>
    <row r="1900" spans="1:8" ht="22.5">
      <c r="A1900" s="4">
        <v>7</v>
      </c>
      <c r="B1900" s="5" t="s">
        <v>26</v>
      </c>
      <c r="C1900" s="5">
        <f aca="true" t="shared" si="48" ref="C1900:H1900">C1901+C1902+C1903+C1904</f>
        <v>0</v>
      </c>
      <c r="D1900" s="5">
        <f t="shared" si="48"/>
        <v>1487950.1600000001</v>
      </c>
      <c r="E1900" s="8">
        <f t="shared" si="48"/>
        <v>1472859.1600000001</v>
      </c>
      <c r="F1900" s="8">
        <f t="shared" si="48"/>
        <v>1474551.1</v>
      </c>
      <c r="G1900" s="5">
        <f t="shared" si="48"/>
        <v>0</v>
      </c>
      <c r="H1900" s="5">
        <f t="shared" si="48"/>
        <v>-554683.17</v>
      </c>
    </row>
    <row r="1901" spans="1:8" ht="12.75">
      <c r="A1901" s="4" t="s">
        <v>27</v>
      </c>
      <c r="B1901" s="5" t="s">
        <v>28</v>
      </c>
      <c r="C1901" s="5"/>
      <c r="D1901" s="4">
        <v>29879.63</v>
      </c>
      <c r="E1901" s="6">
        <v>28187.69</v>
      </c>
      <c r="F1901" s="6">
        <f>D1901</f>
        <v>29879.63</v>
      </c>
      <c r="G1901" s="4"/>
      <c r="H1901" s="4">
        <f>-1691.94</f>
        <v>-1691.94</v>
      </c>
    </row>
    <row r="1902" spans="1:8" ht="33.75">
      <c r="A1902" s="4" t="s">
        <v>29</v>
      </c>
      <c r="B1902" s="5" t="s">
        <v>30</v>
      </c>
      <c r="C1902" s="5"/>
      <c r="D1902" s="4">
        <v>535305.62</v>
      </c>
      <c r="E1902" s="6">
        <v>523377.84</v>
      </c>
      <c r="F1902" s="6">
        <f>E1902</f>
        <v>523377.84</v>
      </c>
      <c r="G1902" s="4">
        <f>E1902-F1902</f>
        <v>0</v>
      </c>
      <c r="H1902" s="4">
        <f>-183654.68+10258-11927.78</f>
        <v>-185324.46</v>
      </c>
    </row>
    <row r="1903" spans="1:8" ht="22.5">
      <c r="A1903" s="4" t="s">
        <v>31</v>
      </c>
      <c r="B1903" s="5" t="s">
        <v>32</v>
      </c>
      <c r="C1903" s="5"/>
      <c r="D1903" s="4"/>
      <c r="E1903" s="6"/>
      <c r="F1903" s="6"/>
      <c r="G1903" s="4"/>
      <c r="H1903" s="4"/>
    </row>
    <row r="1904" spans="1:8" ht="22.5">
      <c r="A1904" s="4" t="s">
        <v>33</v>
      </c>
      <c r="B1904" s="5" t="s">
        <v>34</v>
      </c>
      <c r="C1904" s="5"/>
      <c r="D1904" s="4">
        <v>922764.91</v>
      </c>
      <c r="E1904" s="6">
        <v>921293.63</v>
      </c>
      <c r="F1904" s="6">
        <f>E1904</f>
        <v>921293.63</v>
      </c>
      <c r="G1904" s="4">
        <f>E1904-F1904</f>
        <v>0</v>
      </c>
      <c r="H1904" s="4">
        <f>-351299.49-14896-1471.28</f>
        <v>-367666.77</v>
      </c>
    </row>
    <row r="1905" spans="1:8" ht="56.25">
      <c r="A1905" s="4"/>
      <c r="B1905" s="23" t="s">
        <v>389</v>
      </c>
      <c r="C1905" s="4">
        <v>21600</v>
      </c>
      <c r="D1905" s="4">
        <v>7200</v>
      </c>
      <c r="E1905" s="4">
        <v>7200</v>
      </c>
      <c r="F1905" s="4"/>
      <c r="G1905" s="4">
        <f>C1905+E1905</f>
        <v>28800</v>
      </c>
      <c r="H1905" s="4"/>
    </row>
    <row r="1906" spans="1:8" ht="12.75">
      <c r="A1906" s="4"/>
      <c r="B1906" s="4"/>
      <c r="C1906" s="4"/>
      <c r="D1906" s="4"/>
      <c r="E1906" s="4"/>
      <c r="F1906" s="4"/>
      <c r="G1906" s="4"/>
      <c r="H1906" s="4"/>
    </row>
    <row r="1909" ht="114" customHeight="1"/>
    <row r="1910" ht="12.75">
      <c r="A1910" t="s">
        <v>0</v>
      </c>
    </row>
    <row r="1911" ht="12.75">
      <c r="A1911" t="s">
        <v>291</v>
      </c>
    </row>
    <row r="1912" ht="12.75">
      <c r="A1912" t="s">
        <v>1</v>
      </c>
    </row>
    <row r="1913" ht="12.75">
      <c r="A1913" t="s">
        <v>416</v>
      </c>
    </row>
    <row r="1915" ht="12.75">
      <c r="A1915" t="s">
        <v>2</v>
      </c>
    </row>
    <row r="1917" ht="12.75">
      <c r="A1917" t="s">
        <v>196</v>
      </c>
    </row>
    <row r="1918" ht="12.75">
      <c r="A1918" t="s">
        <v>197</v>
      </c>
    </row>
    <row r="1919" ht="12.75">
      <c r="A1919" t="s">
        <v>4</v>
      </c>
    </row>
    <row r="1920" ht="12.75">
      <c r="A1920" t="s">
        <v>198</v>
      </c>
    </row>
    <row r="1921" ht="12.75">
      <c r="A1921" t="s">
        <v>184</v>
      </c>
    </row>
    <row r="1923" ht="12.75">
      <c r="A1923" t="s">
        <v>6</v>
      </c>
    </row>
    <row r="1924" ht="12.75">
      <c r="A1924" t="s">
        <v>7</v>
      </c>
    </row>
    <row r="1926" spans="1:8" ht="12.75">
      <c r="A1926" s="4" t="s">
        <v>8</v>
      </c>
      <c r="B1926" s="4" t="s">
        <v>13</v>
      </c>
      <c r="C1926" s="4" t="s">
        <v>9</v>
      </c>
      <c r="D1926" s="4" t="s">
        <v>10</v>
      </c>
      <c r="E1926" s="4" t="s">
        <v>15</v>
      </c>
      <c r="F1926" s="4" t="s">
        <v>16</v>
      </c>
      <c r="G1926" s="4" t="s">
        <v>9</v>
      </c>
      <c r="H1926" s="4" t="s">
        <v>11</v>
      </c>
    </row>
    <row r="1927" spans="1:8" ht="12.75">
      <c r="A1927" s="4"/>
      <c r="B1927" s="4"/>
      <c r="C1927" s="4" t="s">
        <v>417</v>
      </c>
      <c r="D1927" s="4" t="s">
        <v>418</v>
      </c>
      <c r="E1927" s="4" t="s">
        <v>14</v>
      </c>
      <c r="F1927" s="4" t="s">
        <v>17</v>
      </c>
      <c r="G1927" s="4" t="s">
        <v>420</v>
      </c>
      <c r="H1927" s="4" t="s">
        <v>12</v>
      </c>
    </row>
    <row r="1928" spans="1:8" ht="12.75">
      <c r="A1928" s="4"/>
      <c r="B1928" s="4"/>
      <c r="C1928" s="4"/>
      <c r="D1928" s="4"/>
      <c r="E1928" s="4" t="s">
        <v>419</v>
      </c>
      <c r="F1928" s="4" t="s">
        <v>419</v>
      </c>
      <c r="G1928" s="4"/>
      <c r="H1928" s="4" t="s">
        <v>421</v>
      </c>
    </row>
    <row r="1929" spans="1:8" ht="12.75">
      <c r="A1929" s="4"/>
      <c r="B1929" s="4"/>
      <c r="C1929" s="4"/>
      <c r="D1929" s="4"/>
      <c r="E1929" s="4"/>
      <c r="F1929" s="4"/>
      <c r="G1929" s="4"/>
      <c r="H1929" s="4"/>
    </row>
    <row r="1930" spans="1:8" ht="22.5">
      <c r="A1930" s="4">
        <v>1</v>
      </c>
      <c r="B1930" s="5" t="s">
        <v>18</v>
      </c>
      <c r="C1930" s="6"/>
      <c r="D1930" s="6">
        <v>203713.56</v>
      </c>
      <c r="E1930" s="6">
        <v>191356.38</v>
      </c>
      <c r="F1930" s="6">
        <f>D1930</f>
        <v>203713.56</v>
      </c>
      <c r="G1930" s="6"/>
      <c r="H1930" s="6">
        <f>-22368.74+4589-12357.18</f>
        <v>-30136.920000000002</v>
      </c>
    </row>
    <row r="1931" spans="1:8" ht="12.75">
      <c r="A1931" s="4">
        <v>2</v>
      </c>
      <c r="B1931" s="5" t="s">
        <v>21</v>
      </c>
      <c r="C1931" s="8"/>
      <c r="D1931" s="6"/>
      <c r="E1931" s="6"/>
      <c r="F1931" s="6"/>
      <c r="G1931" s="6"/>
      <c r="H1931" s="6"/>
    </row>
    <row r="1932" spans="1:8" ht="12.75">
      <c r="A1932" s="4">
        <v>3</v>
      </c>
      <c r="B1932" s="5" t="s">
        <v>22</v>
      </c>
      <c r="C1932" s="8"/>
      <c r="D1932" s="6">
        <v>85659.69</v>
      </c>
      <c r="E1932" s="6">
        <v>83766.07</v>
      </c>
      <c r="F1932" s="6">
        <f>D1932</f>
        <v>85659.69</v>
      </c>
      <c r="G1932" s="6"/>
      <c r="H1932" s="6">
        <f>-6370.03+1478-1893.2</f>
        <v>-6785.23</v>
      </c>
    </row>
    <row r="1933" spans="1:8" ht="22.5">
      <c r="A1933" s="4">
        <v>4</v>
      </c>
      <c r="B1933" s="5" t="s">
        <v>23</v>
      </c>
      <c r="C1933" s="8"/>
      <c r="D1933" s="6"/>
      <c r="E1933" s="6"/>
      <c r="F1933" s="6"/>
      <c r="G1933" s="6"/>
      <c r="H1933" s="6"/>
    </row>
    <row r="1934" spans="1:8" ht="22.5">
      <c r="A1934" s="4">
        <v>5</v>
      </c>
      <c r="B1934" s="5" t="s">
        <v>24</v>
      </c>
      <c r="C1934" s="8">
        <v>-85269.57</v>
      </c>
      <c r="D1934" s="6">
        <v>41755.8</v>
      </c>
      <c r="E1934" s="6">
        <f>'[1]текущий 2017'!$B$2636</f>
        <v>42468.26</v>
      </c>
      <c r="F1934" s="6">
        <f>'[1]текущий 2017'!$C$2637</f>
        <v>27190.61</v>
      </c>
      <c r="G1934" s="6">
        <f>E1934-F1934+C1934</f>
        <v>-69991.92000000001</v>
      </c>
      <c r="H1934" s="6">
        <v>-6440.22</v>
      </c>
    </row>
    <row r="1935" spans="1:8" ht="22.5">
      <c r="A1935" s="4">
        <v>6</v>
      </c>
      <c r="B1935" s="5" t="s">
        <v>25</v>
      </c>
      <c r="C1935" s="8">
        <v>0</v>
      </c>
      <c r="D1935" s="6"/>
      <c r="E1935" s="6"/>
      <c r="F1935" s="6">
        <v>0</v>
      </c>
      <c r="G1935" s="6">
        <f>C1935+E1935-F1935</f>
        <v>0</v>
      </c>
      <c r="H1935" s="6">
        <v>-3182.82</v>
      </c>
    </row>
    <row r="1936" spans="1:8" ht="22.5">
      <c r="A1936" s="4">
        <v>6.1</v>
      </c>
      <c r="B1936" s="5" t="s">
        <v>391</v>
      </c>
      <c r="C1936" s="8">
        <v>83077</v>
      </c>
      <c r="D1936" s="6"/>
      <c r="E1936" s="6"/>
      <c r="F1936" s="6"/>
      <c r="G1936" s="6"/>
      <c r="H1936" s="6">
        <v>-3182.82</v>
      </c>
    </row>
    <row r="1937" spans="1:8" ht="22.5">
      <c r="A1937" s="4">
        <v>7</v>
      </c>
      <c r="B1937" s="5" t="s">
        <v>26</v>
      </c>
      <c r="C1937" s="5">
        <f aca="true" t="shared" si="49" ref="C1937:H1937">C1938+C1939+C1940+C1941</f>
        <v>0</v>
      </c>
      <c r="D1937" s="5">
        <f t="shared" si="49"/>
        <v>885273.21</v>
      </c>
      <c r="E1937" s="8">
        <f t="shared" si="49"/>
        <v>859632.36</v>
      </c>
      <c r="F1937" s="8">
        <f t="shared" si="49"/>
        <v>860561.5</v>
      </c>
      <c r="G1937" s="5">
        <f t="shared" si="49"/>
        <v>0</v>
      </c>
      <c r="H1937" s="5">
        <f t="shared" si="49"/>
        <v>-260783.22999999998</v>
      </c>
    </row>
    <row r="1938" spans="1:8" ht="12.75">
      <c r="A1938" s="4" t="s">
        <v>27</v>
      </c>
      <c r="B1938" s="5" t="s">
        <v>28</v>
      </c>
      <c r="C1938" s="5"/>
      <c r="D1938" s="4">
        <v>18930.36</v>
      </c>
      <c r="E1938" s="6">
        <v>18001.22</v>
      </c>
      <c r="F1938" s="6">
        <f>D1938</f>
        <v>18930.36</v>
      </c>
      <c r="G1938" s="4"/>
      <c r="H1938" s="4">
        <f>-929.14</f>
        <v>-929.14</v>
      </c>
    </row>
    <row r="1939" spans="1:8" ht="33.75">
      <c r="A1939" s="4" t="s">
        <v>29</v>
      </c>
      <c r="B1939" s="5" t="s">
        <v>30</v>
      </c>
      <c r="C1939" s="5"/>
      <c r="D1939" s="4">
        <v>245730.77</v>
      </c>
      <c r="E1939" s="6">
        <v>227754.3</v>
      </c>
      <c r="F1939" s="6">
        <f>E1939</f>
        <v>227754.3</v>
      </c>
      <c r="G1939" s="4">
        <f>E1939-F1939</f>
        <v>0</v>
      </c>
      <c r="H1939" s="4">
        <f>-53545.85+10256-17976.47</f>
        <v>-61266.32</v>
      </c>
    </row>
    <row r="1940" spans="1:8" ht="22.5">
      <c r="A1940" s="4" t="s">
        <v>31</v>
      </c>
      <c r="B1940" s="5" t="s">
        <v>32</v>
      </c>
      <c r="C1940" s="5"/>
      <c r="D1940" s="4"/>
      <c r="E1940" s="6"/>
      <c r="F1940" s="6"/>
      <c r="G1940" s="4"/>
      <c r="H1940" s="4"/>
    </row>
    <row r="1941" spans="1:8" ht="22.5">
      <c r="A1941" s="4" t="s">
        <v>33</v>
      </c>
      <c r="B1941" s="5" t="s">
        <v>34</v>
      </c>
      <c r="C1941" s="5"/>
      <c r="D1941" s="4">
        <v>620612.08</v>
      </c>
      <c r="E1941" s="6">
        <v>613876.84</v>
      </c>
      <c r="F1941" s="6">
        <f>E1941</f>
        <v>613876.84</v>
      </c>
      <c r="G1941" s="4">
        <f>E1941-F1941</f>
        <v>0</v>
      </c>
      <c r="H1941" s="4">
        <f>-181329.53-10523-6735.24</f>
        <v>-198587.77</v>
      </c>
    </row>
    <row r="1942" spans="1:8" ht="56.25">
      <c r="A1942" s="4"/>
      <c r="B1942" s="23" t="s">
        <v>389</v>
      </c>
      <c r="C1942" s="4">
        <v>21600</v>
      </c>
      <c r="D1942" s="4">
        <v>7200</v>
      </c>
      <c r="E1942" s="4">
        <v>7200</v>
      </c>
      <c r="F1942" s="4"/>
      <c r="G1942" s="4">
        <f>C1942+E1942</f>
        <v>28800</v>
      </c>
      <c r="H1942" s="4"/>
    </row>
    <row r="1943" spans="1:8" ht="12.75">
      <c r="A1943" s="4"/>
      <c r="B1943" s="4"/>
      <c r="C1943" s="4"/>
      <c r="D1943" s="4"/>
      <c r="E1943" s="4"/>
      <c r="F1943" s="4"/>
      <c r="G1943" s="4"/>
      <c r="H1943" s="4"/>
    </row>
    <row r="1946" ht="113.25" customHeight="1"/>
    <row r="1947" ht="12.75">
      <c r="A1947" t="s">
        <v>0</v>
      </c>
    </row>
    <row r="1948" ht="12.75">
      <c r="A1948" t="s">
        <v>291</v>
      </c>
    </row>
    <row r="1949" ht="12.75">
      <c r="A1949" t="s">
        <v>1</v>
      </c>
    </row>
    <row r="1950" ht="12.75">
      <c r="A1950" t="s">
        <v>416</v>
      </c>
    </row>
    <row r="1952" ht="12.75">
      <c r="A1952" t="s">
        <v>2</v>
      </c>
    </row>
    <row r="1954" ht="12.75">
      <c r="A1954" t="s">
        <v>199</v>
      </c>
    </row>
    <row r="1955" ht="12.75">
      <c r="A1955" t="s">
        <v>200</v>
      </c>
    </row>
    <row r="1956" ht="12.75">
      <c r="A1956" t="s">
        <v>4</v>
      </c>
    </row>
    <row r="1957" ht="12.75">
      <c r="A1957" t="s">
        <v>201</v>
      </c>
    </row>
    <row r="1958" ht="12.75">
      <c r="A1958" t="s">
        <v>183</v>
      </c>
    </row>
    <row r="1960" ht="12.75">
      <c r="A1960" t="s">
        <v>6</v>
      </c>
    </row>
    <row r="1961" ht="12.75">
      <c r="A1961" t="s">
        <v>7</v>
      </c>
    </row>
    <row r="1963" spans="1:8" ht="12.75">
      <c r="A1963" s="4" t="s">
        <v>8</v>
      </c>
      <c r="B1963" s="4" t="s">
        <v>13</v>
      </c>
      <c r="C1963" s="4" t="s">
        <v>9</v>
      </c>
      <c r="D1963" s="4" t="s">
        <v>10</v>
      </c>
      <c r="E1963" s="4" t="s">
        <v>15</v>
      </c>
      <c r="F1963" s="4" t="s">
        <v>16</v>
      </c>
      <c r="G1963" s="4" t="s">
        <v>9</v>
      </c>
      <c r="H1963" s="4" t="s">
        <v>11</v>
      </c>
    </row>
    <row r="1964" spans="1:8" ht="12.75">
      <c r="A1964" s="4"/>
      <c r="B1964" s="4"/>
      <c r="C1964" s="4" t="s">
        <v>417</v>
      </c>
      <c r="D1964" s="4" t="s">
        <v>418</v>
      </c>
      <c r="E1964" s="4" t="s">
        <v>14</v>
      </c>
      <c r="F1964" s="4" t="s">
        <v>17</v>
      </c>
      <c r="G1964" s="4" t="s">
        <v>420</v>
      </c>
      <c r="H1964" s="4" t="s">
        <v>12</v>
      </c>
    </row>
    <row r="1965" spans="1:8" ht="12.75">
      <c r="A1965" s="4"/>
      <c r="B1965" s="4"/>
      <c r="C1965" s="4"/>
      <c r="D1965" s="4"/>
      <c r="E1965" s="4" t="s">
        <v>419</v>
      </c>
      <c r="F1965" s="4" t="s">
        <v>419</v>
      </c>
      <c r="G1965" s="4"/>
      <c r="H1965" s="4" t="s">
        <v>421</v>
      </c>
    </row>
    <row r="1966" spans="1:8" ht="12.75">
      <c r="A1966" s="4"/>
      <c r="B1966" s="4"/>
      <c r="C1966" s="4"/>
      <c r="D1966" s="4"/>
      <c r="E1966" s="4"/>
      <c r="F1966" s="4"/>
      <c r="G1966" s="4"/>
      <c r="H1966" s="4"/>
    </row>
    <row r="1967" spans="1:8" ht="22.5">
      <c r="A1967" s="4">
        <v>1</v>
      </c>
      <c r="B1967" s="5" t="s">
        <v>18</v>
      </c>
      <c r="C1967" s="6"/>
      <c r="D1967" s="6">
        <v>521063.52</v>
      </c>
      <c r="E1967" s="6">
        <v>518961.72</v>
      </c>
      <c r="F1967" s="6">
        <f>D1967</f>
        <v>521063.52</v>
      </c>
      <c r="G1967" s="6"/>
      <c r="H1967" s="6">
        <f>-99353.23-4589-2101.8</f>
        <v>-106044.03</v>
      </c>
    </row>
    <row r="1968" spans="1:8" ht="12.75">
      <c r="A1968" s="4">
        <v>2</v>
      </c>
      <c r="B1968" s="5" t="s">
        <v>21</v>
      </c>
      <c r="C1968" s="8"/>
      <c r="D1968" s="6"/>
      <c r="E1968" s="6"/>
      <c r="F1968" s="6"/>
      <c r="G1968" s="6"/>
      <c r="H1968" s="6"/>
    </row>
    <row r="1969" spans="1:8" ht="12.75">
      <c r="A1969" s="4">
        <v>3</v>
      </c>
      <c r="B1969" s="5" t="s">
        <v>22</v>
      </c>
      <c r="C1969" s="8"/>
      <c r="D1969" s="6">
        <v>221304.87</v>
      </c>
      <c r="E1969" s="6">
        <v>217828.87</v>
      </c>
      <c r="F1969" s="6">
        <f>D1969</f>
        <v>221304.87</v>
      </c>
      <c r="G1969" s="6"/>
      <c r="H1969" s="6">
        <f>-31718.26-260-3476</f>
        <v>-35454.259999999995</v>
      </c>
    </row>
    <row r="1970" spans="1:8" ht="22.5">
      <c r="A1970" s="4">
        <v>4</v>
      </c>
      <c r="B1970" s="5" t="s">
        <v>23</v>
      </c>
      <c r="C1970" s="8"/>
      <c r="D1970" s="6"/>
      <c r="E1970" s="6"/>
      <c r="F1970" s="6"/>
      <c r="G1970" s="6"/>
      <c r="H1970" s="6"/>
    </row>
    <row r="1971" spans="1:8" ht="22.5">
      <c r="A1971" s="4">
        <v>5</v>
      </c>
      <c r="B1971" s="5" t="s">
        <v>24</v>
      </c>
      <c r="C1971" s="8">
        <v>-3973.41</v>
      </c>
      <c r="D1971" s="6">
        <v>118987.68</v>
      </c>
      <c r="E1971" s="6">
        <f>'[1]текущий 2017'!$B$2687</f>
        <v>230019.81000000006</v>
      </c>
      <c r="F1971" s="6">
        <f>'[1]текущий 2017'!$C$2688</f>
        <v>82018.44</v>
      </c>
      <c r="G1971" s="6">
        <f>E1971-F1971+C1971</f>
        <v>144027.96000000005</v>
      </c>
      <c r="H1971" s="6">
        <v>-31834.1</v>
      </c>
    </row>
    <row r="1972" spans="1:8" ht="22.5">
      <c r="A1972" s="4">
        <v>6</v>
      </c>
      <c r="B1972" s="5" t="s">
        <v>25</v>
      </c>
      <c r="C1972" s="8">
        <v>101752.69</v>
      </c>
      <c r="D1972" s="6"/>
      <c r="E1972" s="6"/>
      <c r="F1972" s="6">
        <v>101752.69</v>
      </c>
      <c r="G1972" s="6">
        <v>0</v>
      </c>
      <c r="H1972" s="6"/>
    </row>
    <row r="1973" spans="1:8" ht="22.5">
      <c r="A1973" s="4">
        <v>6.1</v>
      </c>
      <c r="B1973" s="5" t="s">
        <v>391</v>
      </c>
      <c r="C1973" s="8">
        <v>212907</v>
      </c>
      <c r="D1973" s="6"/>
      <c r="E1973" s="6"/>
      <c r="F1973" s="6"/>
      <c r="G1973" s="6"/>
      <c r="H1973" s="6"/>
    </row>
    <row r="1974" spans="1:8" ht="22.5">
      <c r="A1974" s="4">
        <v>7</v>
      </c>
      <c r="B1974" s="5" t="s">
        <v>26</v>
      </c>
      <c r="C1974" s="5">
        <f aca="true" t="shared" si="50" ref="C1974:H1974">C1975+C1976+C1977+C1978</f>
        <v>0</v>
      </c>
      <c r="D1974" s="5">
        <f t="shared" si="50"/>
        <v>2689919.0700000003</v>
      </c>
      <c r="E1974" s="8">
        <f t="shared" si="50"/>
        <v>2955702.91</v>
      </c>
      <c r="F1974" s="8">
        <f t="shared" si="50"/>
        <v>2957891.19</v>
      </c>
      <c r="G1974" s="5">
        <f t="shared" si="50"/>
        <v>0</v>
      </c>
      <c r="H1974" s="5">
        <f t="shared" si="50"/>
        <v>-986036.05</v>
      </c>
    </row>
    <row r="1975" spans="1:8" ht="12.75">
      <c r="A1975" s="4" t="s">
        <v>27</v>
      </c>
      <c r="B1975" s="5" t="s">
        <v>28</v>
      </c>
      <c r="C1975" s="5"/>
      <c r="D1975" s="4">
        <v>52605.92</v>
      </c>
      <c r="E1975" s="6">
        <v>50417.64</v>
      </c>
      <c r="F1975" s="6">
        <f>D1975</f>
        <v>52605.92</v>
      </c>
      <c r="G1975" s="4"/>
      <c r="H1975" s="4">
        <f>-2188.28</f>
        <v>-2188.28</v>
      </c>
    </row>
    <row r="1976" spans="1:8" ht="33.75">
      <c r="A1976" s="4" t="s">
        <v>29</v>
      </c>
      <c r="B1976" s="5" t="s">
        <v>30</v>
      </c>
      <c r="C1976" s="5"/>
      <c r="D1976" s="4">
        <v>431178.59</v>
      </c>
      <c r="E1976" s="6">
        <v>425696.33</v>
      </c>
      <c r="F1976" s="6">
        <f>E1976</f>
        <v>425696.33</v>
      </c>
      <c r="G1976" s="4">
        <f>E1976-F1976</f>
        <v>0</v>
      </c>
      <c r="H1976" s="4">
        <f>-113185.6-14785-5482.26</f>
        <v>-133452.86000000002</v>
      </c>
    </row>
    <row r="1977" spans="1:8" ht="22.5">
      <c r="A1977" s="4" t="s">
        <v>31</v>
      </c>
      <c r="B1977" s="5" t="s">
        <v>32</v>
      </c>
      <c r="C1977" s="5"/>
      <c r="D1977" s="4">
        <v>423291.97</v>
      </c>
      <c r="E1977" s="6">
        <v>711283.95</v>
      </c>
      <c r="F1977" s="6">
        <f>E1977</f>
        <v>711283.95</v>
      </c>
      <c r="G1977" s="4"/>
      <c r="H1977" s="4">
        <f>-257546.55-22547-12008.02</f>
        <v>-292101.57</v>
      </c>
    </row>
    <row r="1978" spans="1:8" ht="22.5">
      <c r="A1978" s="4" t="s">
        <v>33</v>
      </c>
      <c r="B1978" s="5" t="s">
        <v>34</v>
      </c>
      <c r="C1978" s="5"/>
      <c r="D1978" s="4">
        <v>1782842.59</v>
      </c>
      <c r="E1978" s="6">
        <v>1768304.99</v>
      </c>
      <c r="F1978" s="6">
        <f>E1978</f>
        <v>1768304.99</v>
      </c>
      <c r="G1978" s="4">
        <f>E1978-F1978</f>
        <v>0</v>
      </c>
      <c r="H1978" s="4">
        <f>-465213.74-78542-14537.6</f>
        <v>-558293.34</v>
      </c>
    </row>
    <row r="1979" spans="1:8" ht="56.25">
      <c r="A1979" s="4"/>
      <c r="B1979" s="23" t="s">
        <v>389</v>
      </c>
      <c r="C1979" s="4">
        <v>10800</v>
      </c>
      <c r="D1979" s="4">
        <v>3600</v>
      </c>
      <c r="E1979" s="4">
        <v>3600</v>
      </c>
      <c r="F1979" s="4"/>
      <c r="G1979" s="4">
        <f>C1979+E1979</f>
        <v>14400</v>
      </c>
      <c r="H1979" s="4"/>
    </row>
    <row r="1980" spans="1:8" ht="12.75">
      <c r="A1980" s="4"/>
      <c r="B1980" s="4"/>
      <c r="C1980" s="4"/>
      <c r="D1980" s="4"/>
      <c r="E1980" s="4"/>
      <c r="F1980" s="4"/>
      <c r="G1980" s="4"/>
      <c r="H1980" s="4"/>
    </row>
    <row r="1983" ht="116.25" customHeight="1"/>
    <row r="1984" ht="12.75">
      <c r="A1984" t="s">
        <v>0</v>
      </c>
    </row>
    <row r="1985" ht="12.75">
      <c r="A1985" t="s">
        <v>291</v>
      </c>
    </row>
    <row r="1986" ht="12.75">
      <c r="A1986" t="s">
        <v>1</v>
      </c>
    </row>
    <row r="1987" ht="12.75">
      <c r="A1987" t="s">
        <v>416</v>
      </c>
    </row>
    <row r="1989" ht="12.75">
      <c r="A1989" t="s">
        <v>2</v>
      </c>
    </row>
    <row r="1991" ht="12.75">
      <c r="A1991" t="s">
        <v>202</v>
      </c>
    </row>
    <row r="1992" ht="12.75">
      <c r="A1992" t="s">
        <v>203</v>
      </c>
    </row>
    <row r="1993" ht="12.75">
      <c r="A1993" t="s">
        <v>4</v>
      </c>
    </row>
    <row r="1994" ht="12.75">
      <c r="A1994" t="s">
        <v>204</v>
      </c>
    </row>
    <row r="1995" ht="12.75">
      <c r="A1995" t="s">
        <v>184</v>
      </c>
    </row>
    <row r="1997" ht="12.75">
      <c r="A1997" t="s">
        <v>6</v>
      </c>
    </row>
    <row r="1998" ht="12.75">
      <c r="A1998" t="s">
        <v>7</v>
      </c>
    </row>
    <row r="2000" spans="1:8" ht="12.75">
      <c r="A2000" s="4" t="s">
        <v>8</v>
      </c>
      <c r="B2000" s="4" t="s">
        <v>13</v>
      </c>
      <c r="C2000" s="4" t="s">
        <v>9</v>
      </c>
      <c r="D2000" s="4" t="s">
        <v>10</v>
      </c>
      <c r="E2000" s="4" t="s">
        <v>15</v>
      </c>
      <c r="F2000" s="4" t="s">
        <v>16</v>
      </c>
      <c r="G2000" s="4" t="s">
        <v>9</v>
      </c>
      <c r="H2000" s="4" t="s">
        <v>11</v>
      </c>
    </row>
    <row r="2001" spans="1:8" ht="12.75">
      <c r="A2001" s="4"/>
      <c r="B2001" s="4"/>
      <c r="C2001" s="4" t="s">
        <v>417</v>
      </c>
      <c r="D2001" s="4" t="s">
        <v>418</v>
      </c>
      <c r="E2001" s="4" t="s">
        <v>14</v>
      </c>
      <c r="F2001" s="4" t="s">
        <v>17</v>
      </c>
      <c r="G2001" s="4" t="s">
        <v>420</v>
      </c>
      <c r="H2001" s="4" t="s">
        <v>12</v>
      </c>
    </row>
    <row r="2002" spans="1:8" ht="12.75">
      <c r="A2002" s="4"/>
      <c r="B2002" s="4"/>
      <c r="C2002" s="4"/>
      <c r="D2002" s="4"/>
      <c r="E2002" s="4" t="s">
        <v>419</v>
      </c>
      <c r="F2002" s="4" t="s">
        <v>419</v>
      </c>
      <c r="G2002" s="4"/>
      <c r="H2002" s="4" t="s">
        <v>421</v>
      </c>
    </row>
    <row r="2003" spans="1:8" ht="12.75">
      <c r="A2003" s="4"/>
      <c r="B2003" s="4"/>
      <c r="C2003" s="4"/>
      <c r="D2003" s="4"/>
      <c r="E2003" s="4"/>
      <c r="F2003" s="4"/>
      <c r="G2003" s="4"/>
      <c r="H2003" s="4"/>
    </row>
    <row r="2004" spans="1:8" ht="22.5">
      <c r="A2004" s="4">
        <v>1</v>
      </c>
      <c r="B2004" s="5" t="s">
        <v>18</v>
      </c>
      <c r="C2004" s="6"/>
      <c r="D2004" s="6">
        <v>445681.97</v>
      </c>
      <c r="E2004" s="6">
        <v>42518.17</v>
      </c>
      <c r="F2004" s="6">
        <f>D2004</f>
        <v>445681.97</v>
      </c>
      <c r="G2004" s="6"/>
      <c r="H2004" s="6">
        <f>-86953.51+10254-13163.8</f>
        <v>-89863.31</v>
      </c>
    </row>
    <row r="2005" spans="1:8" ht="12.75">
      <c r="A2005" s="4">
        <v>2</v>
      </c>
      <c r="B2005" s="5" t="s">
        <v>21</v>
      </c>
      <c r="C2005" s="8"/>
      <c r="D2005" s="6"/>
      <c r="E2005" s="6"/>
      <c r="F2005" s="6"/>
      <c r="G2005" s="6"/>
      <c r="H2005" s="6"/>
    </row>
    <row r="2006" spans="1:8" ht="12.75">
      <c r="A2006" s="4">
        <v>3</v>
      </c>
      <c r="B2006" s="5" t="s">
        <v>22</v>
      </c>
      <c r="C2006" s="8"/>
      <c r="D2006" s="6">
        <v>194000.76</v>
      </c>
      <c r="E2006" s="6">
        <v>191381.97</v>
      </c>
      <c r="F2006" s="6">
        <f>D2006</f>
        <v>194000.76</v>
      </c>
      <c r="G2006" s="6"/>
      <c r="H2006" s="6">
        <f>-28418.17+5421-2618.79</f>
        <v>-25615.96</v>
      </c>
    </row>
    <row r="2007" spans="1:8" ht="22.5">
      <c r="A2007" s="4">
        <v>4</v>
      </c>
      <c r="B2007" s="5" t="s">
        <v>23</v>
      </c>
      <c r="C2007" s="8"/>
      <c r="D2007" s="6"/>
      <c r="E2007" s="6"/>
      <c r="F2007" s="6"/>
      <c r="G2007" s="6"/>
      <c r="H2007" s="6"/>
    </row>
    <row r="2008" spans="1:8" ht="22.5">
      <c r="A2008" s="4">
        <v>5</v>
      </c>
      <c r="B2008" s="5" t="s">
        <v>24</v>
      </c>
      <c r="C2008" s="8">
        <v>154508.89</v>
      </c>
      <c r="D2008" s="6">
        <v>139461.36</v>
      </c>
      <c r="E2008" s="6">
        <f>'[1]текущий 2017'!$B$2738</f>
        <v>126620.57</v>
      </c>
      <c r="F2008" s="6">
        <f>'[1]текущий 2017'!$C$2739</f>
        <v>20129.32</v>
      </c>
      <c r="G2008" s="6">
        <f>C2008+E2008-F2008</f>
        <v>261000.14</v>
      </c>
      <c r="H2008" s="6">
        <v>-30543.86</v>
      </c>
    </row>
    <row r="2009" spans="1:8" ht="22.5">
      <c r="A2009" s="4">
        <v>6</v>
      </c>
      <c r="B2009" s="5" t="s">
        <v>25</v>
      </c>
      <c r="C2009" s="8">
        <v>0</v>
      </c>
      <c r="D2009" s="6"/>
      <c r="E2009" s="6"/>
      <c r="F2009" s="6">
        <f>Лист3!D2104</f>
        <v>0</v>
      </c>
      <c r="G2009" s="6">
        <f>C2009+E2009-F2009</f>
        <v>0</v>
      </c>
      <c r="H2009" s="6">
        <v>-9956.93</v>
      </c>
    </row>
    <row r="2010" spans="1:8" ht="22.5">
      <c r="A2010" s="4">
        <v>6.1</v>
      </c>
      <c r="B2010" s="5" t="s">
        <v>391</v>
      </c>
      <c r="C2010" s="8">
        <v>184325</v>
      </c>
      <c r="D2010" s="6"/>
      <c r="E2010" s="6"/>
      <c r="F2010" s="6"/>
      <c r="G2010" s="6"/>
      <c r="H2010" s="6">
        <v>-9956.93</v>
      </c>
    </row>
    <row r="2011" spans="1:8" ht="22.5">
      <c r="A2011" s="4">
        <v>7</v>
      </c>
      <c r="B2011" s="5" t="s">
        <v>26</v>
      </c>
      <c r="C2011" s="5">
        <f aca="true" t="shared" si="51" ref="C2011:H2011">C2012+C2013+C2014+C2015</f>
        <v>0</v>
      </c>
      <c r="D2011" s="5">
        <f t="shared" si="51"/>
        <v>1986190.2800000003</v>
      </c>
      <c r="E2011" s="8">
        <f t="shared" si="51"/>
        <v>1943392.8399999999</v>
      </c>
      <c r="F2011" s="8">
        <f t="shared" si="51"/>
        <v>1946036.53</v>
      </c>
      <c r="G2011" s="5">
        <f t="shared" si="51"/>
        <v>0</v>
      </c>
      <c r="H2011" s="5">
        <f t="shared" si="51"/>
        <v>-617616.04</v>
      </c>
    </row>
    <row r="2012" spans="1:8" ht="12.75">
      <c r="A2012" s="4" t="s">
        <v>27</v>
      </c>
      <c r="B2012" s="5" t="s">
        <v>28</v>
      </c>
      <c r="C2012" s="5"/>
      <c r="D2012" s="4">
        <v>48094.91</v>
      </c>
      <c r="E2012" s="6">
        <v>45451.22</v>
      </c>
      <c r="F2012" s="6">
        <f>D2012</f>
        <v>48094.91</v>
      </c>
      <c r="G2012" s="4"/>
      <c r="H2012" s="4">
        <f>-2643.69</f>
        <v>-2643.69</v>
      </c>
    </row>
    <row r="2013" spans="1:8" ht="33.75">
      <c r="A2013" s="4" t="s">
        <v>29</v>
      </c>
      <c r="B2013" s="5" t="s">
        <v>30</v>
      </c>
      <c r="C2013" s="5"/>
      <c r="D2013" s="4">
        <v>656692.3</v>
      </c>
      <c r="E2013" s="6">
        <v>641725.64</v>
      </c>
      <c r="F2013" s="6">
        <f>E2013</f>
        <v>641725.64</v>
      </c>
      <c r="G2013" s="4">
        <f>E2013-F2013</f>
        <v>0</v>
      </c>
      <c r="H2013" s="4">
        <f>-161912.88+5478-14966.66</f>
        <v>-171401.54</v>
      </c>
    </row>
    <row r="2014" spans="1:8" ht="22.5">
      <c r="A2014" s="4" t="s">
        <v>31</v>
      </c>
      <c r="B2014" s="5" t="s">
        <v>32</v>
      </c>
      <c r="C2014" s="5"/>
      <c r="D2014" s="4"/>
      <c r="E2014" s="6"/>
      <c r="F2014" s="6"/>
      <c r="G2014" s="4"/>
      <c r="H2014" s="4"/>
    </row>
    <row r="2015" spans="1:8" ht="22.5">
      <c r="A2015" s="4" t="s">
        <v>33</v>
      </c>
      <c r="B2015" s="5" t="s">
        <v>34</v>
      </c>
      <c r="C2015" s="5"/>
      <c r="D2015" s="4">
        <v>1281403.07</v>
      </c>
      <c r="E2015" s="6">
        <v>1256215.98</v>
      </c>
      <c r="F2015" s="6">
        <f>E2015</f>
        <v>1256215.98</v>
      </c>
      <c r="G2015" s="4">
        <f>E2015-F2015</f>
        <v>0</v>
      </c>
      <c r="H2015" s="4">
        <f>-386238.72-32145-25187.09</f>
        <v>-443570.81</v>
      </c>
    </row>
    <row r="2016" spans="1:8" ht="56.25">
      <c r="A2016" s="4"/>
      <c r="B2016" s="23" t="s">
        <v>389</v>
      </c>
      <c r="C2016" s="4">
        <v>21600</v>
      </c>
      <c r="D2016" s="4">
        <v>7200</v>
      </c>
      <c r="E2016" s="4">
        <v>7200</v>
      </c>
      <c r="F2016" s="4"/>
      <c r="G2016" s="4">
        <f>C2016+E2016</f>
        <v>28800</v>
      </c>
      <c r="H2016" s="4"/>
    </row>
    <row r="2017" spans="1:8" ht="12.75">
      <c r="A2017" s="4"/>
      <c r="B2017" s="4"/>
      <c r="C2017" s="4"/>
      <c r="D2017" s="4"/>
      <c r="E2017" s="4"/>
      <c r="F2017" s="4"/>
      <c r="G2017" s="4"/>
      <c r="H2017" s="4"/>
    </row>
    <row r="2020" ht="115.5" customHeight="1"/>
    <row r="2021" ht="12.75">
      <c r="A2021" t="s">
        <v>0</v>
      </c>
    </row>
    <row r="2022" ht="12.75">
      <c r="A2022" t="s">
        <v>291</v>
      </c>
    </row>
    <row r="2023" ht="12.75">
      <c r="A2023" t="s">
        <v>1</v>
      </c>
    </row>
    <row r="2024" ht="12.75">
      <c r="A2024" t="s">
        <v>416</v>
      </c>
    </row>
    <row r="2026" ht="12.75">
      <c r="A2026" t="s">
        <v>2</v>
      </c>
    </row>
    <row r="2028" ht="12.75">
      <c r="A2028" t="s">
        <v>205</v>
      </c>
    </row>
    <row r="2029" ht="12.75">
      <c r="A2029" t="s">
        <v>206</v>
      </c>
    </row>
    <row r="2030" ht="12.75">
      <c r="A2030" t="s">
        <v>4</v>
      </c>
    </row>
    <row r="2031" ht="12.75">
      <c r="A2031" t="s">
        <v>207</v>
      </c>
    </row>
    <row r="2032" ht="12.75">
      <c r="A2032" t="s">
        <v>208</v>
      </c>
    </row>
    <row r="2034" ht="12.75">
      <c r="A2034" t="s">
        <v>6</v>
      </c>
    </row>
    <row r="2035" ht="12.75">
      <c r="A2035" t="s">
        <v>7</v>
      </c>
    </row>
    <row r="2037" spans="1:8" ht="12.75">
      <c r="A2037" s="4" t="s">
        <v>8</v>
      </c>
      <c r="B2037" s="4" t="s">
        <v>13</v>
      </c>
      <c r="C2037" s="4" t="s">
        <v>9</v>
      </c>
      <c r="D2037" s="4" t="s">
        <v>10</v>
      </c>
      <c r="E2037" s="4" t="s">
        <v>15</v>
      </c>
      <c r="F2037" s="4" t="s">
        <v>16</v>
      </c>
      <c r="G2037" s="4" t="s">
        <v>9</v>
      </c>
      <c r="H2037" s="4" t="s">
        <v>11</v>
      </c>
    </row>
    <row r="2038" spans="1:8" ht="12.75">
      <c r="A2038" s="4"/>
      <c r="B2038" s="4"/>
      <c r="C2038" s="4" t="s">
        <v>417</v>
      </c>
      <c r="D2038" s="4" t="s">
        <v>418</v>
      </c>
      <c r="E2038" s="4" t="s">
        <v>14</v>
      </c>
      <c r="F2038" s="4" t="s">
        <v>17</v>
      </c>
      <c r="G2038" s="4" t="s">
        <v>420</v>
      </c>
      <c r="H2038" s="4" t="s">
        <v>12</v>
      </c>
    </row>
    <row r="2039" spans="1:8" ht="12.75">
      <c r="A2039" s="4"/>
      <c r="B2039" s="4"/>
      <c r="C2039" s="4"/>
      <c r="D2039" s="4"/>
      <c r="E2039" s="4" t="s">
        <v>419</v>
      </c>
      <c r="F2039" s="4" t="s">
        <v>419</v>
      </c>
      <c r="G2039" s="4"/>
      <c r="H2039" s="4" t="s">
        <v>421</v>
      </c>
    </row>
    <row r="2040" spans="1:8" ht="12.75">
      <c r="A2040" s="4"/>
      <c r="B2040" s="4"/>
      <c r="C2040" s="4"/>
      <c r="D2040" s="4"/>
      <c r="E2040" s="4"/>
      <c r="F2040" s="4"/>
      <c r="G2040" s="4"/>
      <c r="H2040" s="4"/>
    </row>
    <row r="2041" spans="1:8" ht="22.5">
      <c r="A2041" s="4">
        <v>1</v>
      </c>
      <c r="B2041" s="5" t="s">
        <v>18</v>
      </c>
      <c r="C2041" s="6"/>
      <c r="D2041" s="6">
        <v>356375.23</v>
      </c>
      <c r="E2041" s="6">
        <v>343754</v>
      </c>
      <c r="F2041" s="6">
        <f>D2041</f>
        <v>356375.23</v>
      </c>
      <c r="G2041" s="6"/>
      <c r="H2041" s="6">
        <f>-41931.95+2548-1621.23</f>
        <v>-41005.18</v>
      </c>
    </row>
    <row r="2042" spans="1:8" ht="12.75">
      <c r="A2042" s="4">
        <v>2</v>
      </c>
      <c r="B2042" s="5" t="s">
        <v>21</v>
      </c>
      <c r="C2042" s="8"/>
      <c r="D2042" s="6"/>
      <c r="E2042" s="6"/>
      <c r="F2042" s="6"/>
      <c r="G2042" s="6"/>
      <c r="H2042" s="6"/>
    </row>
    <row r="2043" spans="1:8" ht="12.75">
      <c r="A2043" s="4">
        <v>3</v>
      </c>
      <c r="B2043" s="5" t="s">
        <v>22</v>
      </c>
      <c r="C2043" s="8"/>
      <c r="D2043" s="6">
        <v>146211.78</v>
      </c>
      <c r="E2043" s="6">
        <v>145040.63</v>
      </c>
      <c r="F2043" s="6">
        <f>D2043</f>
        <v>146211.78</v>
      </c>
      <c r="G2043" s="6"/>
      <c r="H2043" s="6">
        <f>-12163.09+2145-1171.15</f>
        <v>-11189.24</v>
      </c>
    </row>
    <row r="2044" spans="1:8" ht="22.5">
      <c r="A2044" s="4">
        <v>4</v>
      </c>
      <c r="B2044" s="5" t="s">
        <v>23</v>
      </c>
      <c r="C2044" s="8"/>
      <c r="D2044" s="6"/>
      <c r="E2044" s="6"/>
      <c r="F2044" s="6"/>
      <c r="G2044" s="6"/>
      <c r="H2044" s="6"/>
    </row>
    <row r="2045" spans="1:8" ht="22.5">
      <c r="A2045" s="4">
        <v>5</v>
      </c>
      <c r="B2045" s="5" t="s">
        <v>24</v>
      </c>
      <c r="C2045" s="8">
        <v>27816.77</v>
      </c>
      <c r="D2045" s="6">
        <v>135845.06</v>
      </c>
      <c r="E2045" s="6">
        <f>'[1]текущий 2017'!$B$2789</f>
        <v>123584.39</v>
      </c>
      <c r="F2045" s="6">
        <f>'[1]текущий 2017'!$C$2790</f>
        <v>132912.43</v>
      </c>
      <c r="G2045" s="6">
        <f>E2045-F2045+C2045</f>
        <v>18488.730000000007</v>
      </c>
      <c r="H2045" s="6">
        <v>-14552.7</v>
      </c>
    </row>
    <row r="2046" spans="1:8" ht="22.5">
      <c r="A2046" s="4">
        <v>6</v>
      </c>
      <c r="B2046" s="5" t="s">
        <v>25</v>
      </c>
      <c r="C2046" s="8">
        <v>0</v>
      </c>
      <c r="D2046" s="6"/>
      <c r="E2046" s="6"/>
      <c r="F2046" s="6">
        <f>Лист3!D2141</f>
        <v>0</v>
      </c>
      <c r="G2046" s="6">
        <f>C2046+E2046-F2046</f>
        <v>0</v>
      </c>
      <c r="H2046" s="6">
        <v>-8367.02</v>
      </c>
    </row>
    <row r="2047" spans="1:8" ht="22.5">
      <c r="A2047" s="4">
        <v>6.1</v>
      </c>
      <c r="B2047" s="5" t="s">
        <v>391</v>
      </c>
      <c r="C2047" s="8">
        <v>139902</v>
      </c>
      <c r="D2047" s="6"/>
      <c r="E2047" s="6"/>
      <c r="F2047" s="6"/>
      <c r="G2047" s="6"/>
      <c r="H2047" s="6">
        <v>-8367.02</v>
      </c>
    </row>
    <row r="2048" spans="1:8" ht="22.5">
      <c r="A2048" s="4">
        <v>7</v>
      </c>
      <c r="B2048" s="5" t="s">
        <v>26</v>
      </c>
      <c r="C2048" s="5">
        <f aca="true" t="shared" si="52" ref="C2048:H2048">C2049+C2050+C2051+C2052</f>
        <v>0</v>
      </c>
      <c r="D2048" s="5">
        <f t="shared" si="52"/>
        <v>1557593.51</v>
      </c>
      <c r="E2048" s="8">
        <f t="shared" si="52"/>
        <v>1574806.04</v>
      </c>
      <c r="F2048" s="8">
        <f t="shared" si="52"/>
        <v>1543813.77</v>
      </c>
      <c r="G2048" s="5">
        <f t="shared" si="52"/>
        <v>0</v>
      </c>
      <c r="H2048" s="5">
        <f t="shared" si="52"/>
        <v>-310706.5</v>
      </c>
    </row>
    <row r="2049" spans="1:8" ht="12.75">
      <c r="A2049" s="4" t="s">
        <v>27</v>
      </c>
      <c r="B2049" s="5" t="s">
        <v>28</v>
      </c>
      <c r="C2049" s="5"/>
      <c r="D2049" s="4">
        <v>3180.26</v>
      </c>
      <c r="E2049" s="6">
        <v>34172.53</v>
      </c>
      <c r="F2049" s="6">
        <f>D2049</f>
        <v>3180.26</v>
      </c>
      <c r="G2049" s="4"/>
      <c r="H2049" s="4">
        <f>-1007.73</f>
        <v>-1007.73</v>
      </c>
    </row>
    <row r="2050" spans="1:8" ht="33.75">
      <c r="A2050" s="4" t="s">
        <v>29</v>
      </c>
      <c r="B2050" s="5" t="s">
        <v>30</v>
      </c>
      <c r="C2050" s="5"/>
      <c r="D2050" s="4">
        <v>299333.34</v>
      </c>
      <c r="E2050" s="6">
        <v>294414.92</v>
      </c>
      <c r="F2050" s="6">
        <f>E2050</f>
        <v>294414.92</v>
      </c>
      <c r="G2050" s="4">
        <f>E2050-F2050</f>
        <v>0</v>
      </c>
      <c r="H2050" s="4">
        <f>-39246.23+620-4918.42</f>
        <v>-43544.65</v>
      </c>
    </row>
    <row r="2051" spans="1:8" ht="22.5">
      <c r="A2051" s="4" t="s">
        <v>31</v>
      </c>
      <c r="B2051" s="5" t="s">
        <v>32</v>
      </c>
      <c r="C2051" s="5"/>
      <c r="D2051" s="4">
        <v>414533.91</v>
      </c>
      <c r="E2051" s="6">
        <v>407356.84</v>
      </c>
      <c r="F2051" s="6">
        <f>E2051</f>
        <v>407356.84</v>
      </c>
      <c r="G2051" s="4"/>
      <c r="H2051" s="4">
        <f>-4484.63+520-7177.07</f>
        <v>-11141.7</v>
      </c>
    </row>
    <row r="2052" spans="1:8" ht="22.5">
      <c r="A2052" s="4" t="s">
        <v>33</v>
      </c>
      <c r="B2052" s="5" t="s">
        <v>34</v>
      </c>
      <c r="C2052" s="5"/>
      <c r="D2052" s="4">
        <v>840546</v>
      </c>
      <c r="E2052" s="6">
        <v>838861.75</v>
      </c>
      <c r="F2052" s="6">
        <f>E2052</f>
        <v>838861.75</v>
      </c>
      <c r="G2052" s="4">
        <f>E2052-F2052</f>
        <v>0</v>
      </c>
      <c r="H2052" s="4">
        <f>-264581.17+11253-1684.25</f>
        <v>-255012.41999999998</v>
      </c>
    </row>
    <row r="2053" spans="1:8" ht="56.25">
      <c r="A2053" s="4"/>
      <c r="B2053" s="23" t="s">
        <v>389</v>
      </c>
      <c r="C2053" s="4">
        <v>5400</v>
      </c>
      <c r="D2053" s="4">
        <v>1800</v>
      </c>
      <c r="E2053" s="4">
        <v>1800</v>
      </c>
      <c r="F2053" s="4"/>
      <c r="G2053" s="4">
        <f>C2053+E2053</f>
        <v>7200</v>
      </c>
      <c r="H2053" s="4"/>
    </row>
    <row r="2054" spans="1:8" ht="12.75">
      <c r="A2054" s="4"/>
      <c r="B2054" s="4"/>
      <c r="C2054" s="4"/>
      <c r="D2054" s="4"/>
      <c r="E2054" s="4"/>
      <c r="F2054" s="4"/>
      <c r="G2054" s="4"/>
      <c r="H2054" s="4"/>
    </row>
    <row r="2057" ht="114.75" customHeight="1"/>
    <row r="2058" ht="12.75">
      <c r="A2058" t="s">
        <v>0</v>
      </c>
    </row>
    <row r="2059" ht="12.75">
      <c r="A2059" t="s">
        <v>291</v>
      </c>
    </row>
    <row r="2060" ht="12.75">
      <c r="A2060" t="s">
        <v>1</v>
      </c>
    </row>
    <row r="2061" ht="12.75">
      <c r="A2061" t="s">
        <v>416</v>
      </c>
    </row>
    <row r="2063" ht="12.75">
      <c r="A2063" t="s">
        <v>2</v>
      </c>
    </row>
    <row r="2065" ht="12.75">
      <c r="A2065" t="s">
        <v>209</v>
      </c>
    </row>
    <row r="2066" ht="12.75">
      <c r="A2066" t="s">
        <v>210</v>
      </c>
    </row>
    <row r="2067" ht="12.75">
      <c r="A2067" t="s">
        <v>4</v>
      </c>
    </row>
    <row r="2068" ht="12.75">
      <c r="A2068" t="s">
        <v>211</v>
      </c>
    </row>
    <row r="2069" ht="12.75">
      <c r="A2069" t="s">
        <v>184</v>
      </c>
    </row>
    <row r="2071" ht="12.75">
      <c r="A2071" t="s">
        <v>6</v>
      </c>
    </row>
    <row r="2072" ht="12.75">
      <c r="A2072" t="s">
        <v>7</v>
      </c>
    </row>
    <row r="2074" spans="1:8" ht="12.75">
      <c r="A2074" s="4" t="s">
        <v>8</v>
      </c>
      <c r="B2074" s="4" t="s">
        <v>13</v>
      </c>
      <c r="C2074" s="4" t="s">
        <v>9</v>
      </c>
      <c r="D2074" s="4" t="s">
        <v>10</v>
      </c>
      <c r="E2074" s="4" t="s">
        <v>15</v>
      </c>
      <c r="F2074" s="4" t="s">
        <v>16</v>
      </c>
      <c r="G2074" s="4" t="s">
        <v>9</v>
      </c>
      <c r="H2074" s="4" t="s">
        <v>11</v>
      </c>
    </row>
    <row r="2075" spans="1:8" ht="12.75">
      <c r="A2075" s="4"/>
      <c r="B2075" s="4"/>
      <c r="C2075" s="4" t="s">
        <v>417</v>
      </c>
      <c r="D2075" s="4" t="s">
        <v>418</v>
      </c>
      <c r="E2075" s="4" t="s">
        <v>14</v>
      </c>
      <c r="F2075" s="4" t="s">
        <v>17</v>
      </c>
      <c r="G2075" s="4" t="s">
        <v>420</v>
      </c>
      <c r="H2075" s="4" t="s">
        <v>12</v>
      </c>
    </row>
    <row r="2076" spans="1:8" ht="12.75">
      <c r="A2076" s="4"/>
      <c r="B2076" s="4"/>
      <c r="C2076" s="4"/>
      <c r="D2076" s="4"/>
      <c r="E2076" s="4" t="s">
        <v>419</v>
      </c>
      <c r="F2076" s="4" t="s">
        <v>419</v>
      </c>
      <c r="G2076" s="4"/>
      <c r="H2076" s="4" t="s">
        <v>421</v>
      </c>
    </row>
    <row r="2077" spans="1:8" ht="12.75">
      <c r="A2077" s="4"/>
      <c r="B2077" s="4"/>
      <c r="C2077" s="4"/>
      <c r="D2077" s="4"/>
      <c r="E2077" s="4"/>
      <c r="F2077" s="4"/>
      <c r="G2077" s="4"/>
      <c r="H2077" s="4"/>
    </row>
    <row r="2078" spans="1:8" ht="22.5">
      <c r="A2078" s="4">
        <v>1</v>
      </c>
      <c r="B2078" s="5" t="s">
        <v>18</v>
      </c>
      <c r="C2078" s="6"/>
      <c r="D2078" s="6">
        <v>310691.17</v>
      </c>
      <c r="E2078" s="6">
        <v>309696.21</v>
      </c>
      <c r="F2078" s="6">
        <f>D2078</f>
        <v>310691.17</v>
      </c>
      <c r="G2078" s="6"/>
      <c r="H2078" s="6">
        <f>-78480.33-5214-994.96</f>
        <v>-84689.29000000001</v>
      </c>
    </row>
    <row r="2079" spans="1:8" ht="12.75">
      <c r="A2079" s="4">
        <v>2</v>
      </c>
      <c r="B2079" s="5" t="s">
        <v>21</v>
      </c>
      <c r="C2079" s="8"/>
      <c r="D2079" s="6"/>
      <c r="E2079" s="6"/>
      <c r="F2079" s="6"/>
      <c r="G2079" s="6"/>
      <c r="H2079" s="6"/>
    </row>
    <row r="2080" spans="1:8" ht="12.75">
      <c r="A2080" s="4">
        <v>3</v>
      </c>
      <c r="B2080" s="5" t="s">
        <v>22</v>
      </c>
      <c r="C2080" s="8"/>
      <c r="D2080" s="6">
        <v>133559.01</v>
      </c>
      <c r="E2080" s="6">
        <v>131673.7</v>
      </c>
      <c r="F2080" s="6">
        <f>D2080</f>
        <v>133559.01</v>
      </c>
      <c r="G2080" s="6"/>
      <c r="H2080" s="6">
        <f>-25857.9-1100-1885.3</f>
        <v>-28843.2</v>
      </c>
    </row>
    <row r="2081" spans="1:8" ht="22.5">
      <c r="A2081" s="4">
        <v>4</v>
      </c>
      <c r="B2081" s="5" t="s">
        <v>23</v>
      </c>
      <c r="C2081" s="8"/>
      <c r="D2081" s="6"/>
      <c r="E2081" s="6"/>
      <c r="F2081" s="6"/>
      <c r="G2081" s="6"/>
      <c r="H2081" s="6"/>
    </row>
    <row r="2082" spans="1:8" ht="22.5">
      <c r="A2082" s="4">
        <v>5</v>
      </c>
      <c r="B2082" s="5" t="s">
        <v>24</v>
      </c>
      <c r="C2082" s="8">
        <v>-9544.17</v>
      </c>
      <c r="D2082" s="6">
        <v>65104.2</v>
      </c>
      <c r="E2082" s="6">
        <f>'[1]текущий 2017'!$B$2841</f>
        <v>160682.22000000003</v>
      </c>
      <c r="F2082" s="6">
        <f>'[1]текущий 2017'!$C$2842</f>
        <v>117441.3</v>
      </c>
      <c r="G2082" s="6">
        <f>C2082+E2082-F2082</f>
        <v>33696.750000000015</v>
      </c>
      <c r="H2082" s="6">
        <v>-22106.94</v>
      </c>
    </row>
    <row r="2083" spans="1:8" ht="22.5">
      <c r="A2083" s="4">
        <v>6</v>
      </c>
      <c r="B2083" s="5" t="s">
        <v>25</v>
      </c>
      <c r="C2083" s="8"/>
      <c r="D2083" s="6"/>
      <c r="E2083" s="6"/>
      <c r="F2083" s="6"/>
      <c r="G2083" s="6">
        <v>11959.13</v>
      </c>
      <c r="H2083" s="6"/>
    </row>
    <row r="2084" spans="1:8" ht="22.5">
      <c r="A2084" s="4">
        <v>6.1</v>
      </c>
      <c r="B2084" s="5" t="s">
        <v>391</v>
      </c>
      <c r="C2084" s="8">
        <v>127579</v>
      </c>
      <c r="D2084" s="6"/>
      <c r="E2084" s="6"/>
      <c r="F2084" s="6"/>
      <c r="G2084" s="6"/>
      <c r="H2084" s="6"/>
    </row>
    <row r="2085" spans="1:8" ht="22.5">
      <c r="A2085" s="4">
        <v>7</v>
      </c>
      <c r="B2085" s="5" t="s">
        <v>26</v>
      </c>
      <c r="C2085" s="5">
        <f aca="true" t="shared" si="53" ref="C2085:H2085">C2086+C2087+C2088+C2089</f>
        <v>0</v>
      </c>
      <c r="D2085" s="5">
        <f t="shared" si="53"/>
        <v>1438873.95</v>
      </c>
      <c r="E2085" s="8">
        <f t="shared" si="53"/>
        <v>1385460.91</v>
      </c>
      <c r="F2085" s="8">
        <f t="shared" si="53"/>
        <v>1387692.46</v>
      </c>
      <c r="G2085" s="5">
        <f t="shared" si="53"/>
        <v>0</v>
      </c>
      <c r="H2085" s="5">
        <f t="shared" si="53"/>
        <v>-691439.7999999999</v>
      </c>
    </row>
    <row r="2086" spans="1:8" ht="12.75">
      <c r="A2086" s="4" t="s">
        <v>27</v>
      </c>
      <c r="B2086" s="5" t="s">
        <v>28</v>
      </c>
      <c r="C2086" s="5"/>
      <c r="D2086" s="4">
        <v>25517.6</v>
      </c>
      <c r="E2086" s="6">
        <v>23286.05</v>
      </c>
      <c r="F2086" s="6">
        <f>D2086</f>
        <v>25517.6</v>
      </c>
      <c r="G2086" s="4"/>
      <c r="H2086" s="4">
        <f>-2231.55</f>
        <v>-2231.55</v>
      </c>
    </row>
    <row r="2087" spans="1:8" ht="33.75">
      <c r="A2087" s="4" t="s">
        <v>29</v>
      </c>
      <c r="B2087" s="5" t="s">
        <v>30</v>
      </c>
      <c r="C2087" s="5"/>
      <c r="D2087" s="4">
        <v>478621.49</v>
      </c>
      <c r="E2087" s="6">
        <v>465421.22</v>
      </c>
      <c r="F2087" s="6">
        <f>E2087</f>
        <v>465421.22</v>
      </c>
      <c r="G2087" s="4">
        <f>E2087-F2087</f>
        <v>0</v>
      </c>
      <c r="H2087" s="4">
        <f>-199539.01-25698-13200.27</f>
        <v>-238437.28</v>
      </c>
    </row>
    <row r="2088" spans="1:8" ht="22.5">
      <c r="A2088" s="4" t="s">
        <v>31</v>
      </c>
      <c r="B2088" s="5" t="s">
        <v>32</v>
      </c>
      <c r="C2088" s="5"/>
      <c r="D2088" s="4"/>
      <c r="E2088" s="6"/>
      <c r="F2088" s="6"/>
      <c r="G2088" s="4"/>
      <c r="H2088" s="4"/>
    </row>
    <row r="2089" spans="1:8" ht="22.5">
      <c r="A2089" s="4" t="s">
        <v>33</v>
      </c>
      <c r="B2089" s="5" t="s">
        <v>34</v>
      </c>
      <c r="C2089" s="5"/>
      <c r="D2089" s="4">
        <v>934734.86</v>
      </c>
      <c r="E2089" s="6">
        <v>896753.64</v>
      </c>
      <c r="F2089" s="6">
        <f>E2089</f>
        <v>896753.64</v>
      </c>
      <c r="G2089" s="4">
        <f>E2089-F2089</f>
        <v>0</v>
      </c>
      <c r="H2089" s="4">
        <f>-347357.75-65432-37981.22</f>
        <v>-450770.97</v>
      </c>
    </row>
    <row r="2090" spans="1:8" ht="56.25">
      <c r="A2090" s="4"/>
      <c r="B2090" s="23" t="s">
        <v>389</v>
      </c>
      <c r="C2090" s="4">
        <v>21600</v>
      </c>
      <c r="D2090" s="4">
        <v>7200</v>
      </c>
      <c r="E2090" s="4">
        <v>7200</v>
      </c>
      <c r="F2090" s="4"/>
      <c r="G2090" s="4">
        <f>C2090+E2090</f>
        <v>28800</v>
      </c>
      <c r="H2090" s="4"/>
    </row>
    <row r="2091" spans="1:8" ht="12.75">
      <c r="A2091" s="4"/>
      <c r="B2091" s="4"/>
      <c r="C2091" s="4"/>
      <c r="D2091" s="4"/>
      <c r="E2091" s="4"/>
      <c r="F2091" s="4"/>
      <c r="G2091" s="4"/>
      <c r="H2091" s="4"/>
    </row>
    <row r="2094" ht="112.5" customHeight="1"/>
    <row r="2095" ht="12.75">
      <c r="A2095" t="s">
        <v>0</v>
      </c>
    </row>
    <row r="2096" ht="12.75">
      <c r="A2096" t="s">
        <v>291</v>
      </c>
    </row>
    <row r="2097" ht="12.75">
      <c r="A2097" t="s">
        <v>1</v>
      </c>
    </row>
    <row r="2098" ht="12.75">
      <c r="A2098" t="s">
        <v>416</v>
      </c>
    </row>
    <row r="2100" ht="12.75">
      <c r="A2100" t="s">
        <v>2</v>
      </c>
    </row>
    <row r="2102" ht="12.75">
      <c r="A2102" t="s">
        <v>212</v>
      </c>
    </row>
    <row r="2103" ht="12.75">
      <c r="A2103" t="s">
        <v>213</v>
      </c>
    </row>
    <row r="2104" ht="12.75">
      <c r="A2104" t="s">
        <v>4</v>
      </c>
    </row>
    <row r="2105" ht="12.75">
      <c r="A2105" t="s">
        <v>214</v>
      </c>
    </row>
    <row r="2106" ht="12.75">
      <c r="A2106" t="s">
        <v>215</v>
      </c>
    </row>
    <row r="2108" ht="12.75">
      <c r="A2108" t="s">
        <v>6</v>
      </c>
    </row>
    <row r="2109" ht="12.75">
      <c r="A2109" t="s">
        <v>7</v>
      </c>
    </row>
    <row r="2111" spans="1:8" ht="12.75">
      <c r="A2111" s="4" t="s">
        <v>8</v>
      </c>
      <c r="B2111" s="4" t="s">
        <v>13</v>
      </c>
      <c r="C2111" s="4" t="s">
        <v>9</v>
      </c>
      <c r="D2111" s="4" t="s">
        <v>10</v>
      </c>
      <c r="E2111" s="4" t="s">
        <v>15</v>
      </c>
      <c r="F2111" s="4" t="s">
        <v>16</v>
      </c>
      <c r="G2111" s="4" t="s">
        <v>9</v>
      </c>
      <c r="H2111" s="4" t="s">
        <v>11</v>
      </c>
    </row>
    <row r="2112" spans="1:8" ht="12.75">
      <c r="A2112" s="4"/>
      <c r="B2112" s="4"/>
      <c r="C2112" s="4" t="s">
        <v>417</v>
      </c>
      <c r="D2112" s="4" t="s">
        <v>418</v>
      </c>
      <c r="E2112" s="4" t="s">
        <v>14</v>
      </c>
      <c r="F2112" s="4" t="s">
        <v>17</v>
      </c>
      <c r="G2112" s="4" t="s">
        <v>420</v>
      </c>
      <c r="H2112" s="4" t="s">
        <v>12</v>
      </c>
    </row>
    <row r="2113" spans="1:8" ht="12.75">
      <c r="A2113" s="4"/>
      <c r="B2113" s="4"/>
      <c r="C2113" s="4"/>
      <c r="D2113" s="4"/>
      <c r="E2113" s="4" t="s">
        <v>419</v>
      </c>
      <c r="F2113" s="4" t="s">
        <v>419</v>
      </c>
      <c r="G2113" s="4"/>
      <c r="H2113" s="4" t="s">
        <v>421</v>
      </c>
    </row>
    <row r="2114" spans="1:8" ht="12.75">
      <c r="A2114" s="4"/>
      <c r="B2114" s="4"/>
      <c r="C2114" s="4"/>
      <c r="D2114" s="4"/>
      <c r="E2114" s="4"/>
      <c r="F2114" s="4"/>
      <c r="G2114" s="4"/>
      <c r="H2114" s="4"/>
    </row>
    <row r="2115" spans="1:8" ht="22.5">
      <c r="A2115" s="4">
        <v>1</v>
      </c>
      <c r="B2115" s="5" t="s">
        <v>18</v>
      </c>
      <c r="C2115" s="6"/>
      <c r="D2115" s="6">
        <v>230884.8</v>
      </c>
      <c r="E2115" s="6">
        <v>225781.68</v>
      </c>
      <c r="F2115" s="6">
        <f>D2115</f>
        <v>230884.8</v>
      </c>
      <c r="G2115" s="6"/>
      <c r="H2115" s="6">
        <f>-67679.62+12569-5103.2</f>
        <v>-60213.81999999999</v>
      </c>
    </row>
    <row r="2116" spans="1:8" ht="12.75">
      <c r="A2116" s="4">
        <v>2</v>
      </c>
      <c r="B2116" s="5" t="s">
        <v>21</v>
      </c>
      <c r="C2116" s="8"/>
      <c r="D2116" s="6"/>
      <c r="E2116" s="6"/>
      <c r="F2116" s="6"/>
      <c r="G2116" s="6"/>
      <c r="H2116" s="6"/>
    </row>
    <row r="2117" spans="1:8" ht="12.75">
      <c r="A2117" s="4">
        <v>3</v>
      </c>
      <c r="B2117" s="5" t="s">
        <v>22</v>
      </c>
      <c r="C2117" s="8"/>
      <c r="D2117" s="6">
        <v>98061.03</v>
      </c>
      <c r="E2117" s="6">
        <v>94126.49</v>
      </c>
      <c r="F2117" s="6">
        <f>D2117</f>
        <v>98061.03</v>
      </c>
      <c r="G2117" s="6"/>
      <c r="H2117" s="6">
        <f>-20438+6529-3934.54</f>
        <v>-17843.54</v>
      </c>
    </row>
    <row r="2118" spans="1:8" ht="22.5">
      <c r="A2118" s="4">
        <v>4</v>
      </c>
      <c r="B2118" s="5" t="s">
        <v>23</v>
      </c>
      <c r="C2118" s="8"/>
      <c r="D2118" s="6"/>
      <c r="E2118" s="6"/>
      <c r="F2118" s="6"/>
      <c r="G2118" s="6"/>
      <c r="H2118" s="6"/>
    </row>
    <row r="2119" spans="1:8" ht="22.5">
      <c r="A2119" s="4">
        <v>5</v>
      </c>
      <c r="B2119" s="5" t="s">
        <v>24</v>
      </c>
      <c r="C2119" s="8">
        <v>116786.66</v>
      </c>
      <c r="D2119" s="6">
        <v>52723.56</v>
      </c>
      <c r="E2119" s="6">
        <f>'[1]текущий 2017'!$B$2891</f>
        <v>54950.64</v>
      </c>
      <c r="F2119" s="6">
        <f>'[1]текущий 2017'!$C$2892</f>
        <v>69251.59</v>
      </c>
      <c r="G2119" s="6">
        <f>E2119-F2119+C2119</f>
        <v>102485.71</v>
      </c>
      <c r="H2119" s="6">
        <v>-30574.74</v>
      </c>
    </row>
    <row r="2120" spans="1:8" ht="22.5">
      <c r="A2120" s="4">
        <v>6</v>
      </c>
      <c r="B2120" s="5" t="s">
        <v>25</v>
      </c>
      <c r="C2120" s="8">
        <v>-60760.91</v>
      </c>
      <c r="D2120" s="6"/>
      <c r="E2120" s="6"/>
      <c r="F2120" s="6"/>
      <c r="G2120" s="6">
        <v>-60760.91</v>
      </c>
      <c r="H2120" s="6"/>
    </row>
    <row r="2121" spans="1:8" ht="22.5">
      <c r="A2121" s="4">
        <v>6.1</v>
      </c>
      <c r="B2121" s="5" t="s">
        <v>391</v>
      </c>
      <c r="C2121" s="8">
        <v>94514</v>
      </c>
      <c r="D2121" s="6"/>
      <c r="E2121" s="6"/>
      <c r="F2121" s="6"/>
      <c r="G2121" s="6"/>
      <c r="H2121" s="6"/>
    </row>
    <row r="2122" spans="1:8" ht="22.5">
      <c r="A2122" s="4">
        <v>7</v>
      </c>
      <c r="B2122" s="5" t="s">
        <v>26</v>
      </c>
      <c r="C2122" s="5">
        <f aca="true" t="shared" si="54" ref="C2122:H2122">C2123+C2124+C2125+C2126</f>
        <v>0</v>
      </c>
      <c r="D2122" s="5">
        <f t="shared" si="54"/>
        <v>1486679.96</v>
      </c>
      <c r="E2122" s="8">
        <f t="shared" si="54"/>
        <v>1389453.74</v>
      </c>
      <c r="F2122" s="8">
        <f t="shared" si="54"/>
        <v>1393749.19</v>
      </c>
      <c r="G2122" s="5">
        <f t="shared" si="54"/>
        <v>0</v>
      </c>
      <c r="H2122" s="5">
        <f t="shared" si="54"/>
        <v>-443459.89</v>
      </c>
    </row>
    <row r="2123" spans="1:8" ht="12.75">
      <c r="A2123" s="4" t="s">
        <v>27</v>
      </c>
      <c r="B2123" s="5" t="s">
        <v>28</v>
      </c>
      <c r="C2123" s="5"/>
      <c r="D2123" s="4">
        <v>43251.01</v>
      </c>
      <c r="E2123" s="6">
        <v>38955.56</v>
      </c>
      <c r="F2123" s="6">
        <f>D2123</f>
        <v>43251.01</v>
      </c>
      <c r="G2123" s="4"/>
      <c r="H2123" s="4">
        <f>-4295.45</f>
        <v>-4295.45</v>
      </c>
    </row>
    <row r="2124" spans="1:8" ht="33.75">
      <c r="A2124" s="4" t="s">
        <v>29</v>
      </c>
      <c r="B2124" s="5" t="s">
        <v>30</v>
      </c>
      <c r="C2124" s="5"/>
      <c r="D2124" s="4">
        <v>235038.85</v>
      </c>
      <c r="E2124" s="6">
        <v>209446.48</v>
      </c>
      <c r="F2124" s="6">
        <f>E2124</f>
        <v>209446.48</v>
      </c>
      <c r="G2124" s="4">
        <f>E2124-F2124</f>
        <v>0</v>
      </c>
      <c r="H2124" s="4">
        <f>-51394.18+18965-25592.37</f>
        <v>-58021.55</v>
      </c>
    </row>
    <row r="2125" spans="1:8" ht="22.5">
      <c r="A2125" s="4" t="s">
        <v>31</v>
      </c>
      <c r="B2125" s="5" t="s">
        <v>32</v>
      </c>
      <c r="C2125" s="5"/>
      <c r="D2125" s="4">
        <v>361153.08</v>
      </c>
      <c r="E2125" s="6">
        <v>340357.13</v>
      </c>
      <c r="F2125" s="6">
        <f>E2125</f>
        <v>340357.13</v>
      </c>
      <c r="G2125" s="4"/>
      <c r="H2125" s="4">
        <f>-106361.87+28563-20795.95</f>
        <v>-98594.81999999999</v>
      </c>
    </row>
    <row r="2126" spans="1:8" ht="22.5">
      <c r="A2126" s="4" t="s">
        <v>33</v>
      </c>
      <c r="B2126" s="5" t="s">
        <v>34</v>
      </c>
      <c r="C2126" s="5"/>
      <c r="D2126" s="4">
        <v>847237.02</v>
      </c>
      <c r="E2126" s="6">
        <v>800694.57</v>
      </c>
      <c r="F2126" s="6">
        <f>E2126</f>
        <v>800694.57</v>
      </c>
      <c r="G2126" s="4">
        <f>E2126-F2126</f>
        <v>0</v>
      </c>
      <c r="H2126" s="4">
        <f>-220373.62-15632-46542.45</f>
        <v>-282548.07</v>
      </c>
    </row>
    <row r="2127" spans="1:8" ht="56.25">
      <c r="A2127" s="4"/>
      <c r="B2127" s="23" t="s">
        <v>389</v>
      </c>
      <c r="C2127" s="4">
        <v>10800</v>
      </c>
      <c r="D2127" s="4">
        <v>3600</v>
      </c>
      <c r="E2127" s="4">
        <v>3600</v>
      </c>
      <c r="F2127" s="4"/>
      <c r="G2127" s="4">
        <f>C2127+E2127</f>
        <v>14400</v>
      </c>
      <c r="H2127" s="4"/>
    </row>
    <row r="2128" spans="1:8" ht="12.75">
      <c r="A2128" s="4"/>
      <c r="B2128" s="4"/>
      <c r="C2128" s="4"/>
      <c r="D2128" s="4"/>
      <c r="E2128" s="4"/>
      <c r="F2128" s="4"/>
      <c r="G2128" s="4"/>
      <c r="H2128" s="4"/>
    </row>
    <row r="2131" ht="114.75" customHeight="1"/>
    <row r="2132" ht="12.75">
      <c r="A2132" t="s">
        <v>0</v>
      </c>
    </row>
    <row r="2133" ht="12.75">
      <c r="A2133" t="s">
        <v>291</v>
      </c>
    </row>
    <row r="2134" ht="12.75">
      <c r="A2134" t="s">
        <v>1</v>
      </c>
    </row>
    <row r="2135" ht="12.75">
      <c r="A2135" t="s">
        <v>416</v>
      </c>
    </row>
    <row r="2137" ht="12.75">
      <c r="A2137" t="s">
        <v>2</v>
      </c>
    </row>
    <row r="2139" ht="12.75">
      <c r="A2139" t="s">
        <v>216</v>
      </c>
    </row>
    <row r="2140" ht="12.75">
      <c r="A2140" t="s">
        <v>217</v>
      </c>
    </row>
    <row r="2141" ht="12.75">
      <c r="A2141" t="s">
        <v>4</v>
      </c>
    </row>
    <row r="2142" ht="12.75">
      <c r="A2142" t="s">
        <v>218</v>
      </c>
    </row>
    <row r="2143" ht="12.75">
      <c r="A2143" t="s">
        <v>215</v>
      </c>
    </row>
    <row r="2145" ht="12.75">
      <c r="A2145" t="s">
        <v>6</v>
      </c>
    </row>
    <row r="2146" ht="12.75">
      <c r="A2146" t="s">
        <v>7</v>
      </c>
    </row>
    <row r="2148" spans="1:8" ht="12.75">
      <c r="A2148" s="4" t="s">
        <v>8</v>
      </c>
      <c r="B2148" s="4" t="s">
        <v>13</v>
      </c>
      <c r="C2148" s="4" t="s">
        <v>9</v>
      </c>
      <c r="D2148" s="4" t="s">
        <v>10</v>
      </c>
      <c r="E2148" s="4" t="s">
        <v>15</v>
      </c>
      <c r="F2148" s="4" t="s">
        <v>16</v>
      </c>
      <c r="G2148" s="4" t="s">
        <v>9</v>
      </c>
      <c r="H2148" s="4" t="s">
        <v>11</v>
      </c>
    </row>
    <row r="2149" spans="1:8" ht="12.75">
      <c r="A2149" s="4"/>
      <c r="B2149" s="4"/>
      <c r="C2149" s="4" t="s">
        <v>417</v>
      </c>
      <c r="D2149" s="4" t="s">
        <v>418</v>
      </c>
      <c r="E2149" s="4" t="s">
        <v>14</v>
      </c>
      <c r="F2149" s="4" t="s">
        <v>17</v>
      </c>
      <c r="G2149" s="4" t="s">
        <v>420</v>
      </c>
      <c r="H2149" s="4" t="s">
        <v>12</v>
      </c>
    </row>
    <row r="2150" spans="1:8" ht="12.75">
      <c r="A2150" s="4"/>
      <c r="B2150" s="4"/>
      <c r="C2150" s="4"/>
      <c r="D2150" s="4"/>
      <c r="E2150" s="4" t="s">
        <v>419</v>
      </c>
      <c r="F2150" s="4" t="s">
        <v>419</v>
      </c>
      <c r="G2150" s="4"/>
      <c r="H2150" s="4" t="s">
        <v>421</v>
      </c>
    </row>
    <row r="2151" spans="1:8" ht="12.75">
      <c r="A2151" s="4"/>
      <c r="B2151" s="4"/>
      <c r="C2151" s="4"/>
      <c r="D2151" s="4"/>
      <c r="E2151" s="4"/>
      <c r="F2151" s="4"/>
      <c r="G2151" s="4"/>
      <c r="H2151" s="4"/>
    </row>
    <row r="2152" spans="1:8" ht="22.5">
      <c r="A2152" s="4">
        <v>1</v>
      </c>
      <c r="B2152" s="5" t="s">
        <v>18</v>
      </c>
      <c r="C2152" s="6"/>
      <c r="D2152" s="6">
        <v>753346.99</v>
      </c>
      <c r="E2152" s="6">
        <v>787063.48</v>
      </c>
      <c r="F2152" s="6">
        <f>D2152</f>
        <v>753346.99</v>
      </c>
      <c r="G2152" s="6"/>
      <c r="H2152" s="6">
        <f>-146128.56+19236+33716.49</f>
        <v>-93176.07</v>
      </c>
    </row>
    <row r="2153" spans="1:8" ht="12.75">
      <c r="A2153" s="4">
        <v>2</v>
      </c>
      <c r="B2153" s="5" t="s">
        <v>21</v>
      </c>
      <c r="C2153" s="8"/>
      <c r="D2153" s="6">
        <v>280985.93</v>
      </c>
      <c r="E2153" s="6">
        <v>289839.43</v>
      </c>
      <c r="F2153" s="6">
        <f>D2153</f>
        <v>280985.93</v>
      </c>
      <c r="G2153" s="6"/>
      <c r="H2153" s="6">
        <f>-66011.33+9521+8853.5</f>
        <v>-47636.83</v>
      </c>
    </row>
    <row r="2154" spans="1:8" ht="12.75">
      <c r="A2154" s="4">
        <v>3</v>
      </c>
      <c r="B2154" s="5" t="s">
        <v>22</v>
      </c>
      <c r="C2154" s="8"/>
      <c r="D2154" s="6">
        <v>314690.85</v>
      </c>
      <c r="E2154" s="6">
        <v>330797.47</v>
      </c>
      <c r="F2154" s="6">
        <f>D2154</f>
        <v>314690.85</v>
      </c>
      <c r="G2154" s="6"/>
      <c r="H2154" s="6">
        <f>-45343.82+12563+16106.62</f>
        <v>-16674.199999999997</v>
      </c>
    </row>
    <row r="2155" spans="1:8" ht="22.5">
      <c r="A2155" s="4">
        <v>4</v>
      </c>
      <c r="B2155" s="5" t="s">
        <v>23</v>
      </c>
      <c r="C2155" s="8"/>
      <c r="D2155" s="6">
        <v>85529.67</v>
      </c>
      <c r="E2155" s="6">
        <v>89452.85</v>
      </c>
      <c r="F2155" s="6">
        <f>D2155</f>
        <v>85529.67</v>
      </c>
      <c r="G2155" s="6"/>
      <c r="H2155" s="6">
        <f>-15185.5+1236+3923.18</f>
        <v>-10026.32</v>
      </c>
    </row>
    <row r="2156" spans="1:8" ht="22.5">
      <c r="A2156" s="4">
        <v>5</v>
      </c>
      <c r="B2156" s="5" t="s">
        <v>24</v>
      </c>
      <c r="C2156" s="8">
        <v>-10600.42</v>
      </c>
      <c r="D2156" s="6">
        <v>169199.43</v>
      </c>
      <c r="E2156" s="6">
        <f>'[1]текущий 2017'!$B$2942</f>
        <v>180958.93</v>
      </c>
      <c r="F2156" s="6">
        <f>'[1]текущий 2017'!$C$2943</f>
        <v>32439.249999999996</v>
      </c>
      <c r="G2156" s="6">
        <f>E2156-F2156+C2156</f>
        <v>137919.25999999998</v>
      </c>
      <c r="H2156" s="6">
        <f>-46584.2+11759.5</f>
        <v>-34824.7</v>
      </c>
    </row>
    <row r="2157" spans="1:8" ht="22.5">
      <c r="A2157" s="4">
        <v>6</v>
      </c>
      <c r="B2157" s="5" t="s">
        <v>25</v>
      </c>
      <c r="C2157" s="8">
        <v>25887.4</v>
      </c>
      <c r="D2157" s="6"/>
      <c r="E2157" s="6">
        <v>4649.32</v>
      </c>
      <c r="F2157" s="6"/>
      <c r="G2157" s="6">
        <f>C2157+E2157-F2157</f>
        <v>30536.72</v>
      </c>
      <c r="H2157" s="6">
        <f>-33515.43+4649.32</f>
        <v>-28866.11</v>
      </c>
    </row>
    <row r="2158" spans="1:8" ht="22.5">
      <c r="A2158" s="4">
        <v>6.1</v>
      </c>
      <c r="B2158" s="5" t="s">
        <v>391</v>
      </c>
      <c r="C2158" s="8">
        <v>300541</v>
      </c>
      <c r="D2158" s="6"/>
      <c r="E2158" s="6"/>
      <c r="F2158" s="6"/>
      <c r="G2158" s="6"/>
      <c r="H2158" s="6">
        <v>-33515.43</v>
      </c>
    </row>
    <row r="2159" spans="1:8" ht="22.5">
      <c r="A2159" s="4">
        <v>7</v>
      </c>
      <c r="B2159" s="5" t="s">
        <v>26</v>
      </c>
      <c r="C2159" s="5">
        <f aca="true" t="shared" si="55" ref="C2159:H2159">C2160+C2161+C2162+C2163</f>
        <v>0</v>
      </c>
      <c r="D2159" s="5">
        <f t="shared" si="55"/>
        <v>3612122.4</v>
      </c>
      <c r="E2159" s="8">
        <f t="shared" si="55"/>
        <v>3792050.46</v>
      </c>
      <c r="F2159" s="8">
        <f t="shared" si="55"/>
        <v>3804950.3899999997</v>
      </c>
      <c r="G2159" s="5">
        <f t="shared" si="55"/>
        <v>0</v>
      </c>
      <c r="H2159" s="5">
        <f t="shared" si="55"/>
        <v>-829365.06</v>
      </c>
    </row>
    <row r="2160" spans="1:8" ht="12.75">
      <c r="A2160" s="4" t="s">
        <v>27</v>
      </c>
      <c r="B2160" s="5" t="s">
        <v>28</v>
      </c>
      <c r="C2160" s="5"/>
      <c r="D2160" s="4">
        <v>286367.79</v>
      </c>
      <c r="E2160" s="6">
        <v>273467.86</v>
      </c>
      <c r="F2160" s="6">
        <f>D2160</f>
        <v>286367.79</v>
      </c>
      <c r="G2160" s="4"/>
      <c r="H2160" s="4">
        <f>-12899.93</f>
        <v>-12899.93</v>
      </c>
    </row>
    <row r="2161" spans="1:8" ht="33.75">
      <c r="A2161" s="4" t="s">
        <v>29</v>
      </c>
      <c r="B2161" s="5" t="s">
        <v>30</v>
      </c>
      <c r="C2161" s="5"/>
      <c r="D2161" s="4">
        <v>610177.48</v>
      </c>
      <c r="E2161" s="6">
        <v>653788.47</v>
      </c>
      <c r="F2161" s="6">
        <f>E2161</f>
        <v>653788.47</v>
      </c>
      <c r="G2161" s="4">
        <f>E2161-F2161</f>
        <v>0</v>
      </c>
      <c r="H2161" s="4">
        <f>-146083+20424+43610.99</f>
        <v>-82048.01000000001</v>
      </c>
    </row>
    <row r="2162" spans="1:8" ht="22.5">
      <c r="A2162" s="4" t="s">
        <v>31</v>
      </c>
      <c r="B2162" s="5" t="s">
        <v>32</v>
      </c>
      <c r="C2162" s="5"/>
      <c r="D2162" s="4">
        <v>980684.45</v>
      </c>
      <c r="E2162" s="6">
        <v>1071668.46</v>
      </c>
      <c r="F2162" s="6">
        <f>E2162</f>
        <v>1071668.46</v>
      </c>
      <c r="G2162" s="4"/>
      <c r="H2162" s="4">
        <f>-300821.21+22278+90984.01</f>
        <v>-187559.2</v>
      </c>
    </row>
    <row r="2163" spans="1:8" ht="22.5">
      <c r="A2163" s="4" t="s">
        <v>33</v>
      </c>
      <c r="B2163" s="5" t="s">
        <v>34</v>
      </c>
      <c r="C2163" s="5"/>
      <c r="D2163" s="4">
        <v>1734892.68</v>
      </c>
      <c r="E2163" s="6">
        <v>1793125.67</v>
      </c>
      <c r="F2163" s="6">
        <f>E2163</f>
        <v>1793125.67</v>
      </c>
      <c r="G2163" s="4">
        <f>E2163-F2163</f>
        <v>0</v>
      </c>
      <c r="H2163" s="4">
        <f>-571834.91-33256+58232.99</f>
        <v>-546857.92</v>
      </c>
    </row>
    <row r="2164" spans="1:8" ht="56.25">
      <c r="A2164" s="4"/>
      <c r="B2164" s="23" t="s">
        <v>389</v>
      </c>
      <c r="C2164" s="4">
        <v>5400</v>
      </c>
      <c r="D2164" s="4">
        <v>1800</v>
      </c>
      <c r="E2164" s="4">
        <v>1800</v>
      </c>
      <c r="F2164" s="4"/>
      <c r="G2164" s="4">
        <f>C2164+E2164</f>
        <v>7200</v>
      </c>
      <c r="H2164" s="4"/>
    </row>
    <row r="2165" spans="1:8" ht="12.75">
      <c r="A2165" s="4"/>
      <c r="B2165" s="4"/>
      <c r="C2165" s="4"/>
      <c r="D2165" s="4"/>
      <c r="E2165" s="4"/>
      <c r="F2165" s="4"/>
      <c r="G2165" s="4"/>
      <c r="H2165" s="4"/>
    </row>
    <row r="2168" ht="113.25" customHeight="1"/>
    <row r="2169" ht="12.75">
      <c r="A2169" t="s">
        <v>0</v>
      </c>
    </row>
    <row r="2170" ht="12.75">
      <c r="A2170" t="s">
        <v>291</v>
      </c>
    </row>
    <row r="2171" ht="12.75">
      <c r="A2171" t="s">
        <v>1</v>
      </c>
    </row>
    <row r="2172" ht="12.75">
      <c r="A2172" t="s">
        <v>416</v>
      </c>
    </row>
    <row r="2174" ht="12.75">
      <c r="A2174" t="s">
        <v>2</v>
      </c>
    </row>
    <row r="2176" ht="12.75">
      <c r="A2176" t="s">
        <v>219</v>
      </c>
    </row>
    <row r="2177" spans="1:4" ht="12.75">
      <c r="A2177" t="s">
        <v>220</v>
      </c>
      <c r="D2177">
        <v>8313.5</v>
      </c>
    </row>
    <row r="2178" ht="12.75">
      <c r="A2178" t="s">
        <v>4</v>
      </c>
    </row>
    <row r="2179" ht="12.75">
      <c r="A2179" t="s">
        <v>221</v>
      </c>
    </row>
    <row r="2180" ht="12.75">
      <c r="A2180" t="s">
        <v>215</v>
      </c>
    </row>
    <row r="2182" ht="12.75">
      <c r="A2182" t="s">
        <v>6</v>
      </c>
    </row>
    <row r="2183" ht="12.75">
      <c r="A2183" t="s">
        <v>7</v>
      </c>
    </row>
    <row r="2185" spans="1:8" ht="12.75">
      <c r="A2185" s="4" t="s">
        <v>8</v>
      </c>
      <c r="B2185" s="4" t="s">
        <v>13</v>
      </c>
      <c r="C2185" s="4" t="s">
        <v>9</v>
      </c>
      <c r="D2185" s="4" t="s">
        <v>10</v>
      </c>
      <c r="E2185" s="4" t="s">
        <v>15</v>
      </c>
      <c r="F2185" s="4" t="s">
        <v>16</v>
      </c>
      <c r="G2185" s="4" t="s">
        <v>9</v>
      </c>
      <c r="H2185" s="4" t="s">
        <v>11</v>
      </c>
    </row>
    <row r="2186" spans="1:8" ht="12.75">
      <c r="A2186" s="4"/>
      <c r="B2186" s="4"/>
      <c r="C2186" s="4" t="s">
        <v>417</v>
      </c>
      <c r="D2186" s="4" t="s">
        <v>418</v>
      </c>
      <c r="E2186" s="4" t="s">
        <v>14</v>
      </c>
      <c r="F2186" s="4" t="s">
        <v>17</v>
      </c>
      <c r="G2186" s="4" t="s">
        <v>420</v>
      </c>
      <c r="H2186" s="4" t="s">
        <v>12</v>
      </c>
    </row>
    <row r="2187" spans="1:8" ht="12.75">
      <c r="A2187" s="4"/>
      <c r="B2187" s="4"/>
      <c r="C2187" s="4"/>
      <c r="D2187" s="4"/>
      <c r="E2187" s="4" t="s">
        <v>419</v>
      </c>
      <c r="F2187" s="4" t="s">
        <v>419</v>
      </c>
      <c r="G2187" s="4"/>
      <c r="H2187" s="4" t="s">
        <v>421</v>
      </c>
    </row>
    <row r="2188" spans="1:8" ht="12.75">
      <c r="A2188" s="4"/>
      <c r="B2188" s="4"/>
      <c r="C2188" s="4"/>
      <c r="D2188" s="4"/>
      <c r="E2188" s="4"/>
      <c r="F2188" s="4"/>
      <c r="G2188" s="4"/>
      <c r="H2188" s="4"/>
    </row>
    <row r="2189" spans="1:8" ht="22.5">
      <c r="A2189" s="4">
        <v>1</v>
      </c>
      <c r="B2189" s="5" t="s">
        <v>18</v>
      </c>
      <c r="C2189" s="6"/>
      <c r="D2189" s="6">
        <v>806756.85</v>
      </c>
      <c r="E2189" s="6">
        <v>784397.05</v>
      </c>
      <c r="F2189" s="6">
        <f>D2189</f>
        <v>806756.85</v>
      </c>
      <c r="G2189" s="6"/>
      <c r="H2189" s="6">
        <f>-98879.48+45236-22359.8</f>
        <v>-76003.28</v>
      </c>
    </row>
    <row r="2190" spans="1:8" ht="12.75">
      <c r="A2190" s="4">
        <v>2</v>
      </c>
      <c r="B2190" s="5" t="s">
        <v>21</v>
      </c>
      <c r="C2190" s="8"/>
      <c r="D2190" s="6">
        <v>302614.13</v>
      </c>
      <c r="E2190" s="6">
        <v>295997.71</v>
      </c>
      <c r="F2190" s="6">
        <f>D2190</f>
        <v>302614.13</v>
      </c>
      <c r="G2190" s="6"/>
      <c r="H2190" s="6">
        <f>-56315.17+20125-6616.42</f>
        <v>-42806.59</v>
      </c>
    </row>
    <row r="2191" spans="1:8" ht="12.75">
      <c r="A2191" s="4">
        <v>3</v>
      </c>
      <c r="B2191" s="5" t="s">
        <v>22</v>
      </c>
      <c r="C2191" s="8"/>
      <c r="D2191" s="6">
        <v>334996.77</v>
      </c>
      <c r="E2191" s="6">
        <v>328116.24</v>
      </c>
      <c r="F2191" s="6">
        <f>D2191</f>
        <v>334996.77</v>
      </c>
      <c r="G2191" s="6"/>
      <c r="H2191" s="6">
        <f>-35415.73-19562-6880.53</f>
        <v>-61858.26</v>
      </c>
    </row>
    <row r="2192" spans="1:8" ht="22.5">
      <c r="A2192" s="4">
        <v>4</v>
      </c>
      <c r="B2192" s="5" t="s">
        <v>23</v>
      </c>
      <c r="C2192" s="8"/>
      <c r="D2192" s="6">
        <v>91781.64</v>
      </c>
      <c r="E2192" s="6">
        <v>90491.38</v>
      </c>
      <c r="F2192" s="6">
        <f>D2192</f>
        <v>91781.64</v>
      </c>
      <c r="G2192" s="6"/>
      <c r="H2192" s="6">
        <f>-17098.55+3569-1290.26</f>
        <v>-14819.81</v>
      </c>
    </row>
    <row r="2193" spans="1:8" ht="22.5">
      <c r="A2193" s="4">
        <v>5</v>
      </c>
      <c r="B2193" s="5" t="s">
        <v>24</v>
      </c>
      <c r="C2193" s="8">
        <v>40125.2</v>
      </c>
      <c r="D2193" s="6">
        <v>181243.2</v>
      </c>
      <c r="E2193" s="6">
        <f>'[1]текущий 2017'!$B$2993</f>
        <v>189251.50000000003</v>
      </c>
      <c r="F2193" s="6">
        <f>'[1]текущий 2017'!$C$2994</f>
        <v>42263.549999999996</v>
      </c>
      <c r="G2193" s="6">
        <f>E2193-F2193+C2193</f>
        <v>187113.15000000002</v>
      </c>
      <c r="H2193" s="6">
        <v>-38544.45</v>
      </c>
    </row>
    <row r="2194" spans="1:8" ht="22.5">
      <c r="A2194" s="4">
        <v>6</v>
      </c>
      <c r="B2194" s="5" t="s">
        <v>25</v>
      </c>
      <c r="C2194" s="8">
        <v>27119.09</v>
      </c>
      <c r="D2194" s="6"/>
      <c r="E2194" s="6"/>
      <c r="F2194" s="6"/>
      <c r="G2194" s="6">
        <f>C2194</f>
        <v>27119.09</v>
      </c>
      <c r="H2194" s="6"/>
    </row>
    <row r="2195" spans="1:8" ht="12.75">
      <c r="A2195" s="7"/>
      <c r="B2195" s="26"/>
      <c r="C2195" s="8"/>
      <c r="D2195" s="6"/>
      <c r="E2195" s="6"/>
      <c r="F2195" s="6"/>
      <c r="G2195" s="6"/>
      <c r="H2195" s="6"/>
    </row>
    <row r="2196" spans="1:8" ht="22.5">
      <c r="A2196" s="4">
        <v>7</v>
      </c>
      <c r="B2196" s="5" t="s">
        <v>26</v>
      </c>
      <c r="C2196" s="5">
        <f aca="true" t="shared" si="56" ref="C2196:H2196">C2197+C2198+C2199+C2200</f>
        <v>0</v>
      </c>
      <c r="D2196" s="5">
        <f t="shared" si="56"/>
        <v>3786155.06</v>
      </c>
      <c r="E2196" s="8">
        <f t="shared" si="56"/>
        <v>3729983.7300000004</v>
      </c>
      <c r="F2196" s="8">
        <f t="shared" si="56"/>
        <v>3743847.83</v>
      </c>
      <c r="G2196" s="5">
        <f t="shared" si="56"/>
        <v>0</v>
      </c>
      <c r="H2196" s="5">
        <f t="shared" si="56"/>
        <v>-910580.9299999999</v>
      </c>
    </row>
    <row r="2197" spans="1:8" ht="12.75">
      <c r="A2197" s="4" t="s">
        <v>27</v>
      </c>
      <c r="B2197" s="5" t="s">
        <v>28</v>
      </c>
      <c r="C2197" s="5"/>
      <c r="D2197" s="4">
        <v>298566.89</v>
      </c>
      <c r="E2197" s="6">
        <v>284702.79</v>
      </c>
      <c r="F2197" s="6">
        <f>D2197</f>
        <v>298566.89</v>
      </c>
      <c r="G2197" s="4"/>
      <c r="H2197" s="4">
        <f>-13864.1</f>
        <v>-13864.1</v>
      </c>
    </row>
    <row r="2198" spans="1:8" ht="33.75">
      <c r="A2198" s="4" t="s">
        <v>29</v>
      </c>
      <c r="B2198" s="5" t="s">
        <v>30</v>
      </c>
      <c r="C2198" s="5"/>
      <c r="D2198" s="4">
        <v>627761.61</v>
      </c>
      <c r="E2198" s="6">
        <v>617283.53</v>
      </c>
      <c r="F2198" s="6">
        <f>E2198</f>
        <v>617283.53</v>
      </c>
      <c r="G2198" s="4">
        <f>E2198-F2198</f>
        <v>0</v>
      </c>
      <c r="H2198" s="4">
        <f>-124603.81+45236-10478.08</f>
        <v>-89845.89</v>
      </c>
    </row>
    <row r="2199" spans="1:8" ht="22.5">
      <c r="A2199" s="4" t="s">
        <v>31</v>
      </c>
      <c r="B2199" s="5" t="s">
        <v>32</v>
      </c>
      <c r="C2199" s="5"/>
      <c r="D2199" s="4">
        <v>964104.81</v>
      </c>
      <c r="E2199" s="6">
        <v>944893.86</v>
      </c>
      <c r="F2199" s="6">
        <f>E2199</f>
        <v>944893.86</v>
      </c>
      <c r="G2199" s="4"/>
      <c r="H2199" s="4">
        <f>-246862.02+75236-19210.95</f>
        <v>-190836.97</v>
      </c>
    </row>
    <row r="2200" spans="1:8" ht="22.5">
      <c r="A2200" s="4" t="s">
        <v>33</v>
      </c>
      <c r="B2200" s="5" t="s">
        <v>34</v>
      </c>
      <c r="C2200" s="5"/>
      <c r="D2200" s="4">
        <v>1895721.75</v>
      </c>
      <c r="E2200" s="6">
        <v>1883103.55</v>
      </c>
      <c r="F2200" s="6">
        <f>E2200</f>
        <v>1883103.55</v>
      </c>
      <c r="G2200" s="4">
        <f>E2200-F2200</f>
        <v>0</v>
      </c>
      <c r="H2200" s="4">
        <f>-594852.77-8563-12618.2</f>
        <v>-616033.97</v>
      </c>
    </row>
    <row r="2201" spans="1:8" ht="56.25">
      <c r="A2201" s="4"/>
      <c r="B2201" s="23" t="s">
        <v>389</v>
      </c>
      <c r="C2201" s="4">
        <v>5400</v>
      </c>
      <c r="D2201" s="4">
        <v>1800</v>
      </c>
      <c r="E2201" s="4">
        <v>1800</v>
      </c>
      <c r="F2201" s="4"/>
      <c r="G2201" s="4">
        <f>C2201+E2201</f>
        <v>7200</v>
      </c>
      <c r="H2201" s="4"/>
    </row>
    <row r="2202" spans="1:8" ht="12.75">
      <c r="A2202" s="4"/>
      <c r="B2202" s="4"/>
      <c r="C2202" s="4"/>
      <c r="D2202" s="4"/>
      <c r="E2202" s="4"/>
      <c r="F2202" s="4"/>
      <c r="G2202" s="4"/>
      <c r="H2202" s="4"/>
    </row>
    <row r="2204" ht="139.5" customHeight="1"/>
    <row r="2205" ht="12.75">
      <c r="A2205" t="s">
        <v>0</v>
      </c>
    </row>
    <row r="2206" ht="12.75">
      <c r="A2206" t="s">
        <v>291</v>
      </c>
    </row>
    <row r="2207" ht="12.75">
      <c r="A2207" t="s">
        <v>1</v>
      </c>
    </row>
    <row r="2208" ht="12.75">
      <c r="A2208" t="s">
        <v>416</v>
      </c>
    </row>
    <row r="2210" ht="12.75">
      <c r="A2210" t="s">
        <v>2</v>
      </c>
    </row>
    <row r="2212" ht="12.75">
      <c r="A2212" t="s">
        <v>222</v>
      </c>
    </row>
    <row r="2213" ht="12.75">
      <c r="A2213" t="s">
        <v>223</v>
      </c>
    </row>
    <row r="2214" ht="12.75">
      <c r="A2214" t="s">
        <v>4</v>
      </c>
    </row>
    <row r="2215" ht="12.75">
      <c r="A2215" t="s">
        <v>224</v>
      </c>
    </row>
    <row r="2216" ht="12.75">
      <c r="A2216" t="s">
        <v>215</v>
      </c>
    </row>
    <row r="2218" ht="12.75">
      <c r="A2218" t="s">
        <v>6</v>
      </c>
    </row>
    <row r="2219" ht="12.75">
      <c r="A2219" t="s">
        <v>7</v>
      </c>
    </row>
    <row r="2221" spans="1:8" ht="12.75">
      <c r="A2221" s="4" t="s">
        <v>8</v>
      </c>
      <c r="B2221" s="4" t="s">
        <v>13</v>
      </c>
      <c r="C2221" s="4" t="s">
        <v>9</v>
      </c>
      <c r="D2221" s="4" t="s">
        <v>10</v>
      </c>
      <c r="E2221" s="4" t="s">
        <v>15</v>
      </c>
      <c r="F2221" s="4" t="s">
        <v>16</v>
      </c>
      <c r="G2221" s="4" t="s">
        <v>9</v>
      </c>
      <c r="H2221" s="4" t="s">
        <v>11</v>
      </c>
    </row>
    <row r="2222" spans="1:8" ht="12.75">
      <c r="A2222" s="4"/>
      <c r="B2222" s="4"/>
      <c r="C2222" s="4" t="s">
        <v>417</v>
      </c>
      <c r="D2222" s="4" t="s">
        <v>418</v>
      </c>
      <c r="E2222" s="4" t="s">
        <v>14</v>
      </c>
      <c r="F2222" s="4" t="s">
        <v>17</v>
      </c>
      <c r="G2222" s="4" t="s">
        <v>420</v>
      </c>
      <c r="H2222" s="4" t="s">
        <v>12</v>
      </c>
    </row>
    <row r="2223" spans="1:8" ht="12.75">
      <c r="A2223" s="4"/>
      <c r="B2223" s="4"/>
      <c r="C2223" s="4"/>
      <c r="D2223" s="4"/>
      <c r="E2223" s="4" t="s">
        <v>419</v>
      </c>
      <c r="F2223" s="4" t="s">
        <v>419</v>
      </c>
      <c r="G2223" s="4"/>
      <c r="H2223" s="4" t="s">
        <v>421</v>
      </c>
    </row>
    <row r="2224" spans="1:8" ht="12.75">
      <c r="A2224" s="4"/>
      <c r="B2224" s="4"/>
      <c r="C2224" s="4"/>
      <c r="D2224" s="4"/>
      <c r="E2224" s="4"/>
      <c r="F2224" s="4"/>
      <c r="G2224" s="4"/>
      <c r="H2224" s="4"/>
    </row>
    <row r="2225" spans="1:8" ht="22.5">
      <c r="A2225" s="4">
        <v>1</v>
      </c>
      <c r="B2225" s="5" t="s">
        <v>18</v>
      </c>
      <c r="C2225" s="6"/>
      <c r="D2225" s="6">
        <v>221798.76</v>
      </c>
      <c r="E2225" s="6">
        <v>217908.97</v>
      </c>
      <c r="F2225" s="6">
        <f>D2225</f>
        <v>221798.76</v>
      </c>
      <c r="G2225" s="6"/>
      <c r="H2225" s="6">
        <f>-96827.7-15698-3889.79</f>
        <v>-116415.48999999999</v>
      </c>
    </row>
    <row r="2226" spans="1:8" ht="12.75">
      <c r="A2226" s="4">
        <v>2</v>
      </c>
      <c r="B2226" s="5" t="s">
        <v>21</v>
      </c>
      <c r="C2226" s="8"/>
      <c r="D2226" s="6"/>
      <c r="E2226" s="6"/>
      <c r="F2226" s="6"/>
      <c r="G2226" s="6"/>
      <c r="H2226" s="6"/>
    </row>
    <row r="2227" spans="1:8" ht="12.75">
      <c r="A2227" s="4">
        <v>3</v>
      </c>
      <c r="B2227" s="5" t="s">
        <v>22</v>
      </c>
      <c r="C2227" s="8"/>
      <c r="D2227" s="6">
        <v>94201.77</v>
      </c>
      <c r="E2227" s="6">
        <v>91485.79</v>
      </c>
      <c r="F2227" s="6">
        <f>D2227</f>
        <v>94201.77</v>
      </c>
      <c r="G2227" s="6"/>
      <c r="H2227" s="6">
        <f>-22454.6-6541-2715.98</f>
        <v>-31711.579999999998</v>
      </c>
    </row>
    <row r="2228" spans="1:8" ht="22.5">
      <c r="A2228" s="4">
        <v>4</v>
      </c>
      <c r="B2228" s="5" t="s">
        <v>23</v>
      </c>
      <c r="C2228" s="8"/>
      <c r="D2228" s="6"/>
      <c r="E2228" s="6"/>
      <c r="F2228" s="6"/>
      <c r="G2228" s="6"/>
      <c r="H2228" s="6"/>
    </row>
    <row r="2229" spans="1:8" ht="22.5">
      <c r="A2229" s="4">
        <v>5</v>
      </c>
      <c r="B2229" s="5" t="s">
        <v>24</v>
      </c>
      <c r="C2229" s="8">
        <v>-62742.01</v>
      </c>
      <c r="D2229" s="6">
        <v>50649.24</v>
      </c>
      <c r="E2229" s="6">
        <f>'[1]текущий 2017'!$B$3044</f>
        <v>108069.71999999997</v>
      </c>
      <c r="F2229" s="6">
        <f>'[1]текущий 2017'!$C$3045</f>
        <v>23600.87</v>
      </c>
      <c r="G2229" s="6">
        <f>C2229+E2229-F2229</f>
        <v>21726.83999999997</v>
      </c>
      <c r="H2229" s="6">
        <v>-28716.18</v>
      </c>
    </row>
    <row r="2230" spans="1:8" ht="22.5">
      <c r="A2230" s="4">
        <v>6</v>
      </c>
      <c r="B2230" s="5" t="s">
        <v>25</v>
      </c>
      <c r="C2230" s="8">
        <v>57943.27</v>
      </c>
      <c r="D2230" s="6"/>
      <c r="E2230" s="6"/>
      <c r="F2230" s="6">
        <v>57943.27</v>
      </c>
      <c r="G2230" s="6">
        <v>0</v>
      </c>
      <c r="H2230" s="6">
        <v>-10129.83</v>
      </c>
    </row>
    <row r="2231" spans="1:8" ht="22.5">
      <c r="A2231" s="4">
        <v>6.1</v>
      </c>
      <c r="B2231" s="5" t="s">
        <v>391</v>
      </c>
      <c r="C2231" s="8">
        <v>88445</v>
      </c>
      <c r="D2231" s="6"/>
      <c r="E2231" s="6"/>
      <c r="F2231" s="6"/>
      <c r="G2231" s="6"/>
      <c r="H2231" s="6">
        <v>-10129.83</v>
      </c>
    </row>
    <row r="2232" spans="1:8" ht="22.5">
      <c r="A2232" s="4">
        <v>7</v>
      </c>
      <c r="B2232" s="5" t="s">
        <v>26</v>
      </c>
      <c r="C2232" s="5">
        <f aca="true" t="shared" si="57" ref="C2232:H2232">C2233+C2234+C2235+C2236</f>
        <v>0</v>
      </c>
      <c r="D2232" s="5">
        <f t="shared" si="57"/>
        <v>1441157.5899999999</v>
      </c>
      <c r="E2232" s="8">
        <f t="shared" si="57"/>
        <v>1397168.42</v>
      </c>
      <c r="F2232" s="8">
        <f t="shared" si="57"/>
        <v>1399629.68</v>
      </c>
      <c r="G2232" s="5">
        <f t="shared" si="57"/>
        <v>0</v>
      </c>
      <c r="H2232" s="5">
        <f t="shared" si="57"/>
        <v>-697020.82</v>
      </c>
    </row>
    <row r="2233" spans="1:8" ht="12.75">
      <c r="A2233" s="4" t="s">
        <v>27</v>
      </c>
      <c r="B2233" s="5" t="s">
        <v>28</v>
      </c>
      <c r="C2233" s="5"/>
      <c r="D2233" s="4">
        <v>42122.92</v>
      </c>
      <c r="E2233" s="6">
        <v>39661.66</v>
      </c>
      <c r="F2233" s="6">
        <f>D2233</f>
        <v>42122.92</v>
      </c>
      <c r="G2233" s="4"/>
      <c r="H2233" s="4">
        <f>-2461.26</f>
        <v>-2461.26</v>
      </c>
    </row>
    <row r="2234" spans="1:8" ht="33.75">
      <c r="A2234" s="4" t="s">
        <v>29</v>
      </c>
      <c r="B2234" s="5" t="s">
        <v>30</v>
      </c>
      <c r="C2234" s="5"/>
      <c r="D2234" s="4">
        <v>242730.82</v>
      </c>
      <c r="E2234" s="6">
        <v>233690.58</v>
      </c>
      <c r="F2234" s="6">
        <f>E2234</f>
        <v>233690.58</v>
      </c>
      <c r="G2234" s="4">
        <f>E2234-F2234</f>
        <v>0</v>
      </c>
      <c r="H2234" s="4">
        <f>-116861.57-502-9040.24</f>
        <v>-126403.81000000001</v>
      </c>
    </row>
    <row r="2235" spans="1:8" ht="22.5">
      <c r="A2235" s="4" t="s">
        <v>31</v>
      </c>
      <c r="B2235" s="5" t="s">
        <v>32</v>
      </c>
      <c r="C2235" s="5"/>
      <c r="D2235" s="4">
        <v>342407.73</v>
      </c>
      <c r="E2235" s="6">
        <v>342309.1</v>
      </c>
      <c r="F2235" s="6">
        <f>E2235</f>
        <v>342309.1</v>
      </c>
      <c r="G2235" s="4"/>
      <c r="H2235" s="4">
        <f>-189503.16-12563-98.63</f>
        <v>-202164.79</v>
      </c>
    </row>
    <row r="2236" spans="1:8" ht="22.5">
      <c r="A2236" s="4" t="s">
        <v>33</v>
      </c>
      <c r="B2236" s="5" t="s">
        <v>34</v>
      </c>
      <c r="C2236" s="5"/>
      <c r="D2236" s="4">
        <v>813896.12</v>
      </c>
      <c r="E2236" s="6">
        <v>781507.08</v>
      </c>
      <c r="F2236" s="6">
        <f>E2236</f>
        <v>781507.08</v>
      </c>
      <c r="G2236" s="4">
        <f>E2236-F2236</f>
        <v>0</v>
      </c>
      <c r="H2236" s="4">
        <f>-357969.92-5632-2389.04</f>
        <v>-365990.95999999996</v>
      </c>
    </row>
    <row r="2237" spans="1:8" ht="56.25">
      <c r="A2237" s="4"/>
      <c r="B2237" s="23" t="s">
        <v>389</v>
      </c>
      <c r="C2237" s="4">
        <v>21600</v>
      </c>
      <c r="D2237" s="4">
        <v>7200</v>
      </c>
      <c r="E2237" s="4">
        <v>7200</v>
      </c>
      <c r="F2237" s="4"/>
      <c r="G2237" s="4">
        <f>C2237+E2237</f>
        <v>28800</v>
      </c>
      <c r="H2237" s="4"/>
    </row>
    <row r="2238" spans="1:8" ht="12.75">
      <c r="A2238" s="4"/>
      <c r="B2238" s="4"/>
      <c r="C2238" s="4"/>
      <c r="D2238" s="4"/>
      <c r="E2238" s="4"/>
      <c r="F2238" s="4"/>
      <c r="G2238" s="4"/>
      <c r="H2238" s="4"/>
    </row>
    <row r="2240" ht="9.75" customHeight="1"/>
    <row r="2241" ht="12.75" hidden="1"/>
    <row r="2242" ht="12.75" hidden="1"/>
    <row r="2243" ht="12.75" hidden="1"/>
    <row r="2244" ht="114.75" customHeight="1"/>
    <row r="2245" ht="12.75">
      <c r="A2245" t="s">
        <v>0</v>
      </c>
    </row>
    <row r="2246" ht="12.75">
      <c r="A2246" t="s">
        <v>291</v>
      </c>
    </row>
    <row r="2247" ht="12.75">
      <c r="A2247" t="s">
        <v>1</v>
      </c>
    </row>
    <row r="2248" ht="12.75">
      <c r="A2248" t="s">
        <v>416</v>
      </c>
    </row>
    <row r="2250" ht="12.75">
      <c r="A2250" t="s">
        <v>2</v>
      </c>
    </row>
    <row r="2252" ht="12.75">
      <c r="A2252" t="s">
        <v>225</v>
      </c>
    </row>
    <row r="2253" ht="12.75">
      <c r="A2253" t="s">
        <v>226</v>
      </c>
    </row>
    <row r="2254" ht="12.75">
      <c r="A2254" t="s">
        <v>4</v>
      </c>
    </row>
    <row r="2255" ht="12.75">
      <c r="A2255" t="s">
        <v>227</v>
      </c>
    </row>
    <row r="2256" ht="12.75">
      <c r="A2256" t="s">
        <v>184</v>
      </c>
    </row>
    <row r="2258" ht="12.75">
      <c r="A2258" t="s">
        <v>6</v>
      </c>
    </row>
    <row r="2259" ht="12.75">
      <c r="A2259" t="s">
        <v>7</v>
      </c>
    </row>
    <row r="2261" spans="1:8" ht="12.75">
      <c r="A2261" s="4" t="s">
        <v>8</v>
      </c>
      <c r="B2261" s="4" t="s">
        <v>13</v>
      </c>
      <c r="C2261" s="4" t="s">
        <v>9</v>
      </c>
      <c r="D2261" s="4" t="s">
        <v>10</v>
      </c>
      <c r="E2261" s="4" t="s">
        <v>15</v>
      </c>
      <c r="F2261" s="4" t="s">
        <v>16</v>
      </c>
      <c r="G2261" s="4" t="s">
        <v>9</v>
      </c>
      <c r="H2261" s="4" t="s">
        <v>11</v>
      </c>
    </row>
    <row r="2262" spans="1:8" ht="12.75">
      <c r="A2262" s="4"/>
      <c r="B2262" s="4"/>
      <c r="C2262" s="4" t="s">
        <v>417</v>
      </c>
      <c r="D2262" s="4" t="s">
        <v>418</v>
      </c>
      <c r="E2262" s="4" t="s">
        <v>14</v>
      </c>
      <c r="F2262" s="4" t="s">
        <v>17</v>
      </c>
      <c r="G2262" s="4" t="s">
        <v>420</v>
      </c>
      <c r="H2262" s="4" t="s">
        <v>12</v>
      </c>
    </row>
    <row r="2263" spans="1:8" ht="12.75">
      <c r="A2263" s="4"/>
      <c r="B2263" s="4"/>
      <c r="C2263" s="4"/>
      <c r="D2263" s="4"/>
      <c r="E2263" s="4" t="s">
        <v>419</v>
      </c>
      <c r="F2263" s="4" t="s">
        <v>419</v>
      </c>
      <c r="G2263" s="4"/>
      <c r="H2263" s="4" t="s">
        <v>421</v>
      </c>
    </row>
    <row r="2264" spans="1:8" ht="12.75">
      <c r="A2264" s="4"/>
      <c r="B2264" s="4"/>
      <c r="C2264" s="4"/>
      <c r="D2264" s="4"/>
      <c r="E2264" s="4"/>
      <c r="F2264" s="4"/>
      <c r="G2264" s="4"/>
      <c r="H2264" s="4"/>
    </row>
    <row r="2265" spans="1:8" ht="22.5">
      <c r="A2265" s="4">
        <v>1</v>
      </c>
      <c r="B2265" s="5" t="s">
        <v>18</v>
      </c>
      <c r="C2265" s="6"/>
      <c r="D2265" s="6">
        <v>142711.8</v>
      </c>
      <c r="E2265" s="6">
        <v>138907.93</v>
      </c>
      <c r="F2265" s="6">
        <f>D2265</f>
        <v>142711.8</v>
      </c>
      <c r="G2265" s="6"/>
      <c r="H2265" s="6">
        <f>-80090.45+5698-3803.87</f>
        <v>-78196.31999999999</v>
      </c>
    </row>
    <row r="2266" spans="1:8" ht="12.75">
      <c r="A2266" s="4">
        <v>2</v>
      </c>
      <c r="B2266" s="5" t="s">
        <v>21</v>
      </c>
      <c r="C2266" s="8"/>
      <c r="D2266" s="6"/>
      <c r="E2266" s="6"/>
      <c r="F2266" s="6"/>
      <c r="G2266" s="6"/>
      <c r="H2266" s="6"/>
    </row>
    <row r="2267" spans="1:8" ht="12.75">
      <c r="A2267" s="4">
        <v>3</v>
      </c>
      <c r="B2267" s="5" t="s">
        <v>22</v>
      </c>
      <c r="C2267" s="8"/>
      <c r="D2267" s="6">
        <v>63899.07</v>
      </c>
      <c r="E2267" s="6">
        <v>60138.92</v>
      </c>
      <c r="F2267" s="6">
        <f>D2267</f>
        <v>63899.07</v>
      </c>
      <c r="G2267" s="6"/>
      <c r="H2267" s="6">
        <f>-26850.11+2632-3760.15</f>
        <v>-27978.260000000002</v>
      </c>
    </row>
    <row r="2268" spans="1:8" ht="22.5">
      <c r="A2268" s="4">
        <v>4</v>
      </c>
      <c r="B2268" s="5" t="s">
        <v>23</v>
      </c>
      <c r="C2268" s="8"/>
      <c r="D2268" s="6"/>
      <c r="E2268" s="6"/>
      <c r="F2268" s="6"/>
      <c r="G2268" s="6"/>
      <c r="H2268" s="6"/>
    </row>
    <row r="2269" spans="1:8" ht="22.5">
      <c r="A2269" s="4">
        <v>5</v>
      </c>
      <c r="B2269" s="5" t="s">
        <v>24</v>
      </c>
      <c r="C2269" s="8">
        <v>107470.67</v>
      </c>
      <c r="D2269" s="6">
        <v>31148.64</v>
      </c>
      <c r="E2269" s="6">
        <f>'[1]текущий 2017'!$B$3095</f>
        <v>109411.06999999999</v>
      </c>
      <c r="F2269" s="6">
        <f>'[1]текущий 2017'!$C$3096</f>
        <v>194295.74</v>
      </c>
      <c r="G2269" s="6">
        <f>C2269+E2269-F2269</f>
        <v>22586</v>
      </c>
      <c r="H2269" s="6">
        <v>-33498.55</v>
      </c>
    </row>
    <row r="2270" spans="1:8" ht="22.5">
      <c r="A2270" s="4">
        <v>6</v>
      </c>
      <c r="B2270" s="5" t="s">
        <v>25</v>
      </c>
      <c r="C2270" s="8">
        <v>73441.54</v>
      </c>
      <c r="D2270" s="6"/>
      <c r="E2270" s="6"/>
      <c r="F2270" s="6">
        <v>73441.54</v>
      </c>
      <c r="G2270" s="6">
        <v>0</v>
      </c>
      <c r="H2270" s="6">
        <v>-10331.2</v>
      </c>
    </row>
    <row r="2271" spans="1:8" ht="22.5">
      <c r="A2271" s="4">
        <v>7</v>
      </c>
      <c r="B2271" s="5" t="s">
        <v>26</v>
      </c>
      <c r="C2271" s="5"/>
      <c r="D2271" s="5">
        <f>D2272+D2273+D2274+D2275</f>
        <v>777063.51</v>
      </c>
      <c r="E2271" s="8">
        <f>E2272+E2273+E2274+E2275</f>
        <v>763666.13</v>
      </c>
      <c r="F2271" s="8">
        <f>F2272+F2273+F2274+F2275</f>
        <v>764555.66</v>
      </c>
      <c r="G2271" s="5">
        <f>G2272+G2273+G2274+G2275</f>
        <v>0</v>
      </c>
      <c r="H2271" s="5">
        <f>H2272+H2273+H2274+H2275</f>
        <v>-420250.33</v>
      </c>
    </row>
    <row r="2272" spans="1:8" ht="12.75">
      <c r="A2272" s="4" t="s">
        <v>27</v>
      </c>
      <c r="B2272" s="5" t="s">
        <v>28</v>
      </c>
      <c r="C2272" s="5"/>
      <c r="D2272" s="4">
        <v>15662.88</v>
      </c>
      <c r="E2272" s="6">
        <v>14773.35</v>
      </c>
      <c r="F2272" s="6">
        <f>D2272</f>
        <v>15662.88</v>
      </c>
      <c r="G2272" s="4"/>
      <c r="H2272" s="4">
        <f>-889.53</f>
        <v>-889.53</v>
      </c>
    </row>
    <row r="2273" spans="1:8" ht="33.75">
      <c r="A2273" s="4" t="s">
        <v>29</v>
      </c>
      <c r="B2273" s="5" t="s">
        <v>30</v>
      </c>
      <c r="C2273" s="5"/>
      <c r="D2273" s="4">
        <v>209315.65</v>
      </c>
      <c r="E2273" s="6">
        <v>206156.25</v>
      </c>
      <c r="F2273" s="6">
        <f>E2273</f>
        <v>206156.25</v>
      </c>
      <c r="G2273" s="4">
        <f>E2273-F2273</f>
        <v>0</v>
      </c>
      <c r="H2273" s="4">
        <f>-190929+4256.57-3159.39</f>
        <v>-189831.82</v>
      </c>
    </row>
    <row r="2274" spans="1:8" ht="22.5">
      <c r="A2274" s="4" t="s">
        <v>31</v>
      </c>
      <c r="B2274" s="5" t="s">
        <v>32</v>
      </c>
      <c r="C2274" s="5"/>
      <c r="D2274" s="4"/>
      <c r="E2274" s="6"/>
      <c r="F2274" s="6"/>
      <c r="G2274" s="4"/>
      <c r="H2274" s="4"/>
    </row>
    <row r="2275" spans="1:8" ht="22.5">
      <c r="A2275" s="4" t="s">
        <v>33</v>
      </c>
      <c r="B2275" s="5" t="s">
        <v>34</v>
      </c>
      <c r="C2275" s="5"/>
      <c r="D2275" s="4">
        <v>552084.98</v>
      </c>
      <c r="E2275" s="6">
        <v>542736.53</v>
      </c>
      <c r="F2275" s="6">
        <f>E2275</f>
        <v>542736.53</v>
      </c>
      <c r="G2275" s="4">
        <f>E2275-F2275</f>
        <v>0</v>
      </c>
      <c r="H2275" s="4">
        <f>-208638-11542.53-9348.45</f>
        <v>-229528.98</v>
      </c>
    </row>
    <row r="2276" spans="1:8" ht="56.25">
      <c r="A2276" s="4"/>
      <c r="B2276" s="23" t="s">
        <v>389</v>
      </c>
      <c r="C2276" s="4">
        <v>5400</v>
      </c>
      <c r="D2276" s="4">
        <v>1800</v>
      </c>
      <c r="E2276" s="4">
        <v>1800</v>
      </c>
      <c r="F2276" s="4"/>
      <c r="G2276" s="4">
        <f>C2276+E2276</f>
        <v>7200</v>
      </c>
      <c r="H2276" s="4"/>
    </row>
    <row r="2277" spans="1:8" ht="12.75">
      <c r="A2277" s="4"/>
      <c r="B2277" s="4"/>
      <c r="C2277" s="4"/>
      <c r="D2277" s="4"/>
      <c r="E2277" s="4"/>
      <c r="F2277" s="4"/>
      <c r="G2277" s="4"/>
      <c r="H2277" s="4"/>
    </row>
    <row r="2283" ht="99.75" customHeight="1"/>
    <row r="2284" ht="12.75">
      <c r="A2284" t="s">
        <v>0</v>
      </c>
    </row>
    <row r="2285" ht="12.75">
      <c r="A2285" t="s">
        <v>291</v>
      </c>
    </row>
    <row r="2286" ht="12.75">
      <c r="A2286" t="s">
        <v>1</v>
      </c>
    </row>
    <row r="2287" ht="12.75">
      <c r="A2287" t="s">
        <v>416</v>
      </c>
    </row>
    <row r="2289" ht="12.75">
      <c r="A2289" t="s">
        <v>2</v>
      </c>
    </row>
    <row r="2291" ht="12.75">
      <c r="A2291" t="s">
        <v>228</v>
      </c>
    </row>
    <row r="2292" ht="12.75">
      <c r="A2292" t="s">
        <v>229</v>
      </c>
    </row>
    <row r="2293" ht="12.75">
      <c r="A2293" t="s">
        <v>4</v>
      </c>
    </row>
    <row r="2294" ht="12.75">
      <c r="A2294" t="s">
        <v>230</v>
      </c>
    </row>
    <row r="2295" ht="12.75">
      <c r="A2295" t="s">
        <v>215</v>
      </c>
    </row>
    <row r="2297" ht="12.75">
      <c r="A2297" t="s">
        <v>6</v>
      </c>
    </row>
    <row r="2298" ht="12.75">
      <c r="A2298" t="s">
        <v>7</v>
      </c>
    </row>
    <row r="2300" spans="1:8" ht="12.75">
      <c r="A2300" s="4" t="s">
        <v>8</v>
      </c>
      <c r="B2300" s="4" t="s">
        <v>13</v>
      </c>
      <c r="C2300" s="4" t="s">
        <v>9</v>
      </c>
      <c r="D2300" s="4" t="s">
        <v>10</v>
      </c>
      <c r="E2300" s="4" t="s">
        <v>15</v>
      </c>
      <c r="F2300" s="4" t="s">
        <v>16</v>
      </c>
      <c r="G2300" s="4" t="s">
        <v>9</v>
      </c>
      <c r="H2300" s="4" t="s">
        <v>11</v>
      </c>
    </row>
    <row r="2301" spans="1:8" ht="12.75">
      <c r="A2301" s="4"/>
      <c r="B2301" s="4"/>
      <c r="C2301" s="4" t="s">
        <v>417</v>
      </c>
      <c r="D2301" s="4" t="s">
        <v>418</v>
      </c>
      <c r="E2301" s="4" t="s">
        <v>14</v>
      </c>
      <c r="F2301" s="4" t="s">
        <v>17</v>
      </c>
      <c r="G2301" s="4" t="s">
        <v>420</v>
      </c>
      <c r="H2301" s="4" t="s">
        <v>12</v>
      </c>
    </row>
    <row r="2302" spans="1:8" ht="12.75">
      <c r="A2302" s="4"/>
      <c r="B2302" s="4"/>
      <c r="C2302" s="4"/>
      <c r="D2302" s="4"/>
      <c r="E2302" s="4" t="s">
        <v>419</v>
      </c>
      <c r="F2302" s="4" t="s">
        <v>419</v>
      </c>
      <c r="G2302" s="4"/>
      <c r="H2302" s="4" t="s">
        <v>421</v>
      </c>
    </row>
    <row r="2303" spans="1:8" ht="12.75">
      <c r="A2303" s="4"/>
      <c r="B2303" s="4"/>
      <c r="C2303" s="4"/>
      <c r="D2303" s="4"/>
      <c r="E2303" s="4"/>
      <c r="F2303" s="4"/>
      <c r="G2303" s="4"/>
      <c r="H2303" s="4"/>
    </row>
    <row r="2304" spans="1:8" ht="22.5">
      <c r="A2304" s="4">
        <v>1</v>
      </c>
      <c r="B2304" s="5" t="s">
        <v>18</v>
      </c>
      <c r="C2304" s="6"/>
      <c r="D2304" s="6">
        <v>221038.61</v>
      </c>
      <c r="E2304" s="6">
        <v>219920.7</v>
      </c>
      <c r="F2304" s="6">
        <f>D2304</f>
        <v>221038.61</v>
      </c>
      <c r="G2304" s="6"/>
      <c r="H2304" s="6">
        <f>-15583.52-4522-1117.91</f>
        <v>-21223.43</v>
      </c>
    </row>
    <row r="2305" spans="1:8" ht="12.75">
      <c r="A2305" s="4">
        <v>2</v>
      </c>
      <c r="B2305" s="5" t="s">
        <v>21</v>
      </c>
      <c r="C2305" s="8"/>
      <c r="D2305" s="6"/>
      <c r="E2305" s="6"/>
      <c r="F2305" s="6"/>
      <c r="G2305" s="6"/>
      <c r="H2305" s="6"/>
    </row>
    <row r="2306" spans="1:8" ht="12.75">
      <c r="A2306" s="4">
        <v>3</v>
      </c>
      <c r="B2306" s="5" t="s">
        <v>22</v>
      </c>
      <c r="C2306" s="8"/>
      <c r="D2306" s="6">
        <v>93779.7</v>
      </c>
      <c r="E2306" s="6">
        <v>92556.47</v>
      </c>
      <c r="F2306" s="6">
        <f>D2306</f>
        <v>93779.7</v>
      </c>
      <c r="G2306" s="6"/>
      <c r="H2306" s="6">
        <f>-1174.51-1956-1223.23</f>
        <v>-4353.74</v>
      </c>
    </row>
    <row r="2307" spans="1:8" ht="22.5">
      <c r="A2307" s="4">
        <v>4</v>
      </c>
      <c r="B2307" s="5" t="s">
        <v>23</v>
      </c>
      <c r="C2307" s="8"/>
      <c r="D2307" s="6"/>
      <c r="E2307" s="6"/>
      <c r="F2307" s="6"/>
      <c r="G2307" s="6"/>
      <c r="H2307" s="6"/>
    </row>
    <row r="2308" spans="1:8" ht="22.5">
      <c r="A2308" s="4">
        <v>5</v>
      </c>
      <c r="B2308" s="5" t="s">
        <v>24</v>
      </c>
      <c r="C2308" s="8">
        <v>1618.76</v>
      </c>
      <c r="D2308" s="6">
        <v>50421.6</v>
      </c>
      <c r="E2308" s="6">
        <f>'[1]текущий 2017'!$B$3146</f>
        <v>50637.08999999999</v>
      </c>
      <c r="F2308" s="6">
        <f>'[1]текущий 2017'!$C$3147</f>
        <v>40625.37</v>
      </c>
      <c r="G2308" s="6">
        <f>C2308+E2308-F2308</f>
        <v>11630.479999999989</v>
      </c>
      <c r="H2308" s="6">
        <v>-5247.25</v>
      </c>
    </row>
    <row r="2309" spans="1:8" ht="22.5">
      <c r="A2309" s="4">
        <v>6</v>
      </c>
      <c r="B2309" s="5" t="s">
        <v>25</v>
      </c>
      <c r="C2309" s="8">
        <v>-64580.21</v>
      </c>
      <c r="D2309" s="6"/>
      <c r="E2309" s="6"/>
      <c r="F2309" s="6"/>
      <c r="G2309" s="6">
        <v>-64580.21</v>
      </c>
      <c r="H2309" s="6"/>
    </row>
    <row r="2310" spans="1:8" ht="22.5">
      <c r="A2310" s="4">
        <v>6</v>
      </c>
      <c r="B2310" s="5" t="s">
        <v>409</v>
      </c>
      <c r="C2310" s="8">
        <v>87329</v>
      </c>
      <c r="D2310" s="6"/>
      <c r="E2310" s="6"/>
      <c r="F2310" s="6"/>
      <c r="G2310" s="6"/>
      <c r="H2310" s="6"/>
    </row>
    <row r="2311" spans="1:8" ht="22.5">
      <c r="A2311" s="4">
        <v>7</v>
      </c>
      <c r="B2311" s="5" t="s">
        <v>26</v>
      </c>
      <c r="C2311" s="5">
        <f aca="true" t="shared" si="58" ref="C2311:H2311">C2312+C2313+C2314+C2315</f>
        <v>0</v>
      </c>
      <c r="D2311" s="5">
        <f t="shared" si="58"/>
        <v>1325790.1800000002</v>
      </c>
      <c r="E2311" s="8">
        <f t="shared" si="58"/>
        <v>1314436.5299999998</v>
      </c>
      <c r="F2311" s="8">
        <f t="shared" si="58"/>
        <v>1316069.45</v>
      </c>
      <c r="G2311" s="5">
        <f t="shared" si="58"/>
        <v>0</v>
      </c>
      <c r="H2311" s="5">
        <f t="shared" si="58"/>
        <v>-259751.18</v>
      </c>
    </row>
    <row r="2312" spans="1:8" ht="12.75">
      <c r="A2312" s="4" t="s">
        <v>27</v>
      </c>
      <c r="B2312" s="5" t="s">
        <v>28</v>
      </c>
      <c r="C2312" s="5"/>
      <c r="D2312" s="4">
        <v>35171.69</v>
      </c>
      <c r="E2312" s="6">
        <v>33538.77</v>
      </c>
      <c r="F2312" s="6">
        <f>D2312</f>
        <v>35171.69</v>
      </c>
      <c r="G2312" s="4"/>
      <c r="H2312" s="4">
        <f>-1632.92</f>
        <v>-1632.92</v>
      </c>
    </row>
    <row r="2313" spans="1:8" ht="33.75">
      <c r="A2313" s="4" t="s">
        <v>29</v>
      </c>
      <c r="B2313" s="5" t="s">
        <v>30</v>
      </c>
      <c r="C2313" s="5"/>
      <c r="D2313" s="4">
        <v>166656.14</v>
      </c>
      <c r="E2313" s="6">
        <v>165150.86</v>
      </c>
      <c r="F2313" s="6">
        <f>E2313</f>
        <v>165150.86</v>
      </c>
      <c r="G2313" s="4">
        <f>E2313-F2313</f>
        <v>0</v>
      </c>
      <c r="H2313" s="4">
        <f>-9360.86+42-1505.28</f>
        <v>-10824.140000000001</v>
      </c>
    </row>
    <row r="2314" spans="1:8" ht="22.5">
      <c r="A2314" s="4" t="s">
        <v>31</v>
      </c>
      <c r="B2314" s="5" t="s">
        <v>32</v>
      </c>
      <c r="C2314" s="5"/>
      <c r="D2314" s="4">
        <v>329170.97</v>
      </c>
      <c r="E2314" s="6">
        <v>323996.67</v>
      </c>
      <c r="F2314" s="6">
        <f>E2314</f>
        <v>323996.67</v>
      </c>
      <c r="G2314" s="4"/>
      <c r="H2314" s="4">
        <f>-36747.94-1956-5174.3</f>
        <v>-43878.240000000005</v>
      </c>
    </row>
    <row r="2315" spans="1:8" ht="22.5">
      <c r="A2315" s="4" t="s">
        <v>33</v>
      </c>
      <c r="B2315" s="5" t="s">
        <v>34</v>
      </c>
      <c r="C2315" s="5"/>
      <c r="D2315" s="4">
        <v>794791.38</v>
      </c>
      <c r="E2315" s="6">
        <v>791750.23</v>
      </c>
      <c r="F2315" s="6">
        <f>E2315</f>
        <v>791750.23</v>
      </c>
      <c r="G2315" s="4">
        <f>E2315-F2315</f>
        <v>0</v>
      </c>
      <c r="H2315" s="4">
        <f>-177811.73-22563-3041.15</f>
        <v>-203415.88</v>
      </c>
    </row>
    <row r="2316" spans="1:8" ht="56.25">
      <c r="A2316" s="4"/>
      <c r="B2316" s="23" t="s">
        <v>389</v>
      </c>
      <c r="C2316" s="4">
        <v>7200</v>
      </c>
      <c r="D2316" s="4">
        <v>1800</v>
      </c>
      <c r="E2316" s="4">
        <v>1800</v>
      </c>
      <c r="F2316" s="4"/>
      <c r="G2316" s="4">
        <f>C2316+E2316</f>
        <v>9000</v>
      </c>
      <c r="H2316" s="4"/>
    </row>
    <row r="2317" spans="1:8" ht="12.75">
      <c r="A2317" s="4"/>
      <c r="B2317" s="4"/>
      <c r="C2317" s="4"/>
      <c r="D2317" s="4"/>
      <c r="E2317" s="4"/>
      <c r="F2317" s="4"/>
      <c r="G2317" s="4"/>
      <c r="H2317" s="4"/>
    </row>
    <row r="2320" ht="9" customHeight="1"/>
    <row r="2321" ht="12.75" hidden="1"/>
    <row r="2322" ht="12.75" hidden="1"/>
    <row r="2323" ht="100.5" customHeight="1"/>
    <row r="2324" ht="12.75">
      <c r="A2324" t="s">
        <v>0</v>
      </c>
    </row>
    <row r="2325" ht="12.75">
      <c r="A2325" t="s">
        <v>291</v>
      </c>
    </row>
    <row r="2326" ht="12.75">
      <c r="A2326" t="s">
        <v>1</v>
      </c>
    </row>
    <row r="2327" ht="12.75">
      <c r="A2327" t="s">
        <v>416</v>
      </c>
    </row>
    <row r="2329" ht="12.75">
      <c r="A2329" t="s">
        <v>2</v>
      </c>
    </row>
    <row r="2331" ht="12.75">
      <c r="A2331" t="s">
        <v>231</v>
      </c>
    </row>
    <row r="2332" ht="12.75">
      <c r="A2332" t="s">
        <v>258</v>
      </c>
    </row>
    <row r="2333" ht="12.75">
      <c r="A2333" t="s">
        <v>4</v>
      </c>
    </row>
    <row r="2334" ht="12.75">
      <c r="A2334" t="s">
        <v>259</v>
      </c>
    </row>
    <row r="2335" ht="12.75">
      <c r="A2335" t="s">
        <v>215</v>
      </c>
    </row>
    <row r="2337" ht="12.75">
      <c r="A2337" t="s">
        <v>6</v>
      </c>
    </row>
    <row r="2338" ht="12.75">
      <c r="A2338" t="s">
        <v>7</v>
      </c>
    </row>
    <row r="2340" spans="1:8" ht="12.75">
      <c r="A2340" s="4" t="s">
        <v>8</v>
      </c>
      <c r="B2340" s="4" t="s">
        <v>13</v>
      </c>
      <c r="C2340" s="4" t="s">
        <v>9</v>
      </c>
      <c r="D2340" s="4" t="s">
        <v>10</v>
      </c>
      <c r="E2340" s="4" t="s">
        <v>15</v>
      </c>
      <c r="F2340" s="4" t="s">
        <v>16</v>
      </c>
      <c r="G2340" s="4" t="s">
        <v>9</v>
      </c>
      <c r="H2340" s="4" t="s">
        <v>11</v>
      </c>
    </row>
    <row r="2341" spans="1:8" ht="12.75">
      <c r="A2341" s="4"/>
      <c r="B2341" s="4"/>
      <c r="C2341" s="4" t="s">
        <v>417</v>
      </c>
      <c r="D2341" s="4" t="s">
        <v>418</v>
      </c>
      <c r="E2341" s="4" t="s">
        <v>14</v>
      </c>
      <c r="F2341" s="4" t="s">
        <v>17</v>
      </c>
      <c r="G2341" s="4" t="s">
        <v>420</v>
      </c>
      <c r="H2341" s="4" t="s">
        <v>12</v>
      </c>
    </row>
    <row r="2342" spans="1:8" ht="12.75">
      <c r="A2342" s="4"/>
      <c r="B2342" s="4"/>
      <c r="C2342" s="4"/>
      <c r="D2342" s="4"/>
      <c r="E2342" s="4" t="s">
        <v>419</v>
      </c>
      <c r="F2342" s="4" t="s">
        <v>419</v>
      </c>
      <c r="G2342" s="4"/>
      <c r="H2342" s="4" t="s">
        <v>421</v>
      </c>
    </row>
    <row r="2343" spans="1:8" ht="12.75">
      <c r="A2343" s="4"/>
      <c r="B2343" s="4"/>
      <c r="C2343" s="4"/>
      <c r="D2343" s="4"/>
      <c r="E2343" s="4"/>
      <c r="F2343" s="4"/>
      <c r="G2343" s="4"/>
      <c r="H2343" s="4"/>
    </row>
    <row r="2344" spans="1:8" ht="22.5">
      <c r="A2344" s="4">
        <v>1</v>
      </c>
      <c r="B2344" s="5" t="s">
        <v>18</v>
      </c>
      <c r="C2344" s="6"/>
      <c r="D2344" s="6">
        <v>415986.36</v>
      </c>
      <c r="E2344" s="6">
        <v>403250.91</v>
      </c>
      <c r="F2344" s="6">
        <f>D2344</f>
        <v>415986.36</v>
      </c>
      <c r="G2344" s="6"/>
      <c r="H2344" s="6">
        <f>-33329.58+2100-12735.45</f>
        <v>-43965.03</v>
      </c>
    </row>
    <row r="2345" spans="1:8" ht="12.75">
      <c r="A2345" s="4">
        <v>2</v>
      </c>
      <c r="B2345" s="5" t="s">
        <v>21</v>
      </c>
      <c r="C2345" s="8"/>
      <c r="D2345" s="6"/>
      <c r="E2345" s="6"/>
      <c r="F2345" s="6"/>
      <c r="G2345" s="6"/>
      <c r="H2345" s="6"/>
    </row>
    <row r="2346" spans="1:8" ht="12.75">
      <c r="A2346" s="4">
        <v>3</v>
      </c>
      <c r="B2346" s="5" t="s">
        <v>22</v>
      </c>
      <c r="C2346" s="8"/>
      <c r="D2346" s="6">
        <v>171408.33</v>
      </c>
      <c r="E2346" s="6">
        <v>170461.02</v>
      </c>
      <c r="F2346" s="6">
        <f>D2346</f>
        <v>171408.33</v>
      </c>
      <c r="G2346" s="6"/>
      <c r="H2346" s="6">
        <f>-9869.6+1100-947.31</f>
        <v>-9716.91</v>
      </c>
    </row>
    <row r="2347" spans="1:8" ht="22.5">
      <c r="A2347" s="4">
        <v>4</v>
      </c>
      <c r="B2347" s="5" t="s">
        <v>23</v>
      </c>
      <c r="C2347" s="8"/>
      <c r="D2347" s="6"/>
      <c r="E2347" s="6"/>
      <c r="F2347" s="6"/>
      <c r="G2347" s="6"/>
      <c r="H2347" s="6"/>
    </row>
    <row r="2348" spans="1:8" ht="22.5">
      <c r="A2348" s="4">
        <v>5</v>
      </c>
      <c r="B2348" s="5" t="s">
        <v>24</v>
      </c>
      <c r="C2348" s="8">
        <v>4266.67</v>
      </c>
      <c r="D2348" s="6">
        <v>92160.36</v>
      </c>
      <c r="E2348" s="6">
        <f>'[1]текущий 2017'!$B$3197</f>
        <v>92401.97</v>
      </c>
      <c r="F2348" s="6">
        <f>'[1]текущий 2017'!$C$3198</f>
        <v>72251.69</v>
      </c>
      <c r="G2348" s="6">
        <f>C2348+E2348-F2348</f>
        <v>24416.949999999997</v>
      </c>
      <c r="H2348" s="6">
        <v>-14443.64</v>
      </c>
    </row>
    <row r="2349" spans="1:8" ht="22.5">
      <c r="A2349" s="4">
        <v>6</v>
      </c>
      <c r="B2349" s="5" t="s">
        <v>25</v>
      </c>
      <c r="C2349" s="8">
        <v>0</v>
      </c>
      <c r="D2349" s="6"/>
      <c r="E2349" s="6"/>
      <c r="F2349" s="6">
        <f>Лист3!D2442</f>
        <v>0</v>
      </c>
      <c r="G2349" s="6">
        <f>C2349+E2349-F2349</f>
        <v>0</v>
      </c>
      <c r="H2349" s="6">
        <v>3404.89</v>
      </c>
    </row>
    <row r="2350" spans="1:8" ht="22.5">
      <c r="A2350" s="4">
        <v>7</v>
      </c>
      <c r="B2350" s="5" t="s">
        <v>26</v>
      </c>
      <c r="C2350" s="5">
        <f aca="true" t="shared" si="59" ref="C2350:H2350">C2351+C2352+C2353+C2354</f>
        <v>0</v>
      </c>
      <c r="D2350" s="5">
        <f t="shared" si="59"/>
        <v>2033951.81</v>
      </c>
      <c r="E2350" s="8">
        <f t="shared" si="59"/>
        <v>2018736.5</v>
      </c>
      <c r="F2350" s="8">
        <f t="shared" si="59"/>
        <v>2019614.21</v>
      </c>
      <c r="G2350" s="5">
        <f t="shared" si="59"/>
        <v>0</v>
      </c>
      <c r="H2350" s="5">
        <f t="shared" si="59"/>
        <v>-323267.13</v>
      </c>
    </row>
    <row r="2351" spans="1:8" ht="12.75">
      <c r="A2351" s="4" t="s">
        <v>27</v>
      </c>
      <c r="B2351" s="5" t="s">
        <v>28</v>
      </c>
      <c r="C2351" s="5"/>
      <c r="D2351" s="4">
        <v>48806.82</v>
      </c>
      <c r="E2351" s="6">
        <v>47929.11</v>
      </c>
      <c r="F2351" s="6">
        <f>D2351</f>
        <v>48806.82</v>
      </c>
      <c r="G2351" s="4"/>
      <c r="H2351" s="4">
        <f>-877.71</f>
        <v>-877.71</v>
      </c>
    </row>
    <row r="2352" spans="1:8" ht="33.75">
      <c r="A2352" s="4" t="s">
        <v>29</v>
      </c>
      <c r="B2352" s="5" t="s">
        <v>30</v>
      </c>
      <c r="C2352" s="5"/>
      <c r="D2352" s="4">
        <v>323153.95</v>
      </c>
      <c r="E2352" s="6">
        <v>320168.38</v>
      </c>
      <c r="F2352" s="6">
        <f>E2352</f>
        <v>320168.38</v>
      </c>
      <c r="G2352" s="4">
        <f>E2352-F2352</f>
        <v>0</v>
      </c>
      <c r="H2352" s="4">
        <f>-18690.33+1596-2985.57</f>
        <v>-20079.9</v>
      </c>
    </row>
    <row r="2353" spans="1:8" ht="22.5">
      <c r="A2353" s="4" t="s">
        <v>31</v>
      </c>
      <c r="B2353" s="5" t="s">
        <v>32</v>
      </c>
      <c r="C2353" s="5"/>
      <c r="D2353" s="4">
        <v>513790.15</v>
      </c>
      <c r="E2353" s="6">
        <v>511062.99</v>
      </c>
      <c r="F2353" s="6">
        <f>E2353</f>
        <v>511062.99</v>
      </c>
      <c r="G2353" s="4"/>
      <c r="H2353" s="4">
        <f>-56583.02+1230-2727.16</f>
        <v>-58080.17999999999</v>
      </c>
    </row>
    <row r="2354" spans="1:8" ht="22.5">
      <c r="A2354" s="4" t="s">
        <v>33</v>
      </c>
      <c r="B2354" s="5" t="s">
        <v>34</v>
      </c>
      <c r="C2354" s="5"/>
      <c r="D2354" s="4">
        <v>1148200.89</v>
      </c>
      <c r="E2354" s="6">
        <v>1139576.02</v>
      </c>
      <c r="F2354" s="6">
        <f>E2354</f>
        <v>1139576.02</v>
      </c>
      <c r="G2354" s="4">
        <f>E2354-F2354</f>
        <v>0</v>
      </c>
      <c r="H2354" s="4">
        <f>-231035.47-4569-8624.87</f>
        <v>-244229.34</v>
      </c>
    </row>
    <row r="2355" spans="1:8" ht="56.25">
      <c r="A2355" s="4"/>
      <c r="B2355" s="23" t="s">
        <v>389</v>
      </c>
      <c r="C2355" s="4">
        <v>21600</v>
      </c>
      <c r="D2355" s="4">
        <v>7200</v>
      </c>
      <c r="E2355" s="4">
        <v>7200</v>
      </c>
      <c r="F2355" s="4"/>
      <c r="G2355" s="4">
        <f>C2355+E2355</f>
        <v>28800</v>
      </c>
      <c r="H2355" s="4"/>
    </row>
    <row r="2356" spans="1:8" ht="12.75">
      <c r="A2356" s="4"/>
      <c r="B2356" s="4"/>
      <c r="C2356" s="4"/>
      <c r="D2356" s="4"/>
      <c r="E2356" s="4"/>
      <c r="F2356" s="4"/>
      <c r="G2356" s="4"/>
      <c r="H2356" s="4"/>
    </row>
    <row r="2362" ht="100.5" customHeight="1"/>
    <row r="2363" ht="12.75">
      <c r="A2363" t="s">
        <v>0</v>
      </c>
    </row>
    <row r="2364" ht="12.75">
      <c r="A2364" t="s">
        <v>291</v>
      </c>
    </row>
    <row r="2365" ht="12.75">
      <c r="A2365" t="s">
        <v>1</v>
      </c>
    </row>
    <row r="2366" ht="12.75">
      <c r="A2366" t="s">
        <v>416</v>
      </c>
    </row>
    <row r="2368" ht="12.75">
      <c r="A2368" t="s">
        <v>2</v>
      </c>
    </row>
    <row r="2370" ht="12.75">
      <c r="A2370" t="s">
        <v>232</v>
      </c>
    </row>
    <row r="2371" ht="12.75">
      <c r="A2371" t="s">
        <v>233</v>
      </c>
    </row>
    <row r="2372" ht="12.75">
      <c r="A2372" t="s">
        <v>4</v>
      </c>
    </row>
    <row r="2373" ht="12.75">
      <c r="A2373" t="s">
        <v>234</v>
      </c>
    </row>
    <row r="2374" ht="12.75">
      <c r="A2374" t="s">
        <v>184</v>
      </c>
    </row>
    <row r="2376" ht="12.75">
      <c r="A2376" t="s">
        <v>6</v>
      </c>
    </row>
    <row r="2377" ht="12.75">
      <c r="A2377" t="s">
        <v>7</v>
      </c>
    </row>
    <row r="2379" spans="1:8" ht="12.75">
      <c r="A2379" s="4" t="s">
        <v>8</v>
      </c>
      <c r="B2379" s="4" t="s">
        <v>13</v>
      </c>
      <c r="C2379" s="4" t="s">
        <v>9</v>
      </c>
      <c r="D2379" s="4" t="s">
        <v>10</v>
      </c>
      <c r="E2379" s="4" t="s">
        <v>15</v>
      </c>
      <c r="F2379" s="4" t="s">
        <v>16</v>
      </c>
      <c r="G2379" s="4" t="s">
        <v>9</v>
      </c>
      <c r="H2379" s="4" t="s">
        <v>11</v>
      </c>
    </row>
    <row r="2380" spans="1:8" ht="12.75">
      <c r="A2380" s="4"/>
      <c r="B2380" s="4"/>
      <c r="C2380" s="4" t="s">
        <v>417</v>
      </c>
      <c r="D2380" s="4" t="s">
        <v>418</v>
      </c>
      <c r="E2380" s="4" t="s">
        <v>14</v>
      </c>
      <c r="F2380" s="4" t="s">
        <v>17</v>
      </c>
      <c r="G2380" s="4" t="s">
        <v>420</v>
      </c>
      <c r="H2380" s="4" t="s">
        <v>12</v>
      </c>
    </row>
    <row r="2381" spans="1:8" ht="12.75">
      <c r="A2381" s="4"/>
      <c r="B2381" s="4"/>
      <c r="C2381" s="4"/>
      <c r="D2381" s="4"/>
      <c r="E2381" s="4" t="s">
        <v>419</v>
      </c>
      <c r="F2381" s="4" t="s">
        <v>419</v>
      </c>
      <c r="G2381" s="4"/>
      <c r="H2381" s="4" t="s">
        <v>421</v>
      </c>
    </row>
    <row r="2382" spans="1:8" ht="12.75">
      <c r="A2382" s="4"/>
      <c r="B2382" s="4"/>
      <c r="C2382" s="4"/>
      <c r="D2382" s="4"/>
      <c r="E2382" s="4"/>
      <c r="F2382" s="4"/>
      <c r="G2382" s="4"/>
      <c r="H2382" s="4"/>
    </row>
    <row r="2383" spans="1:8" ht="22.5">
      <c r="A2383" s="4">
        <v>1</v>
      </c>
      <c r="B2383" s="5" t="s">
        <v>18</v>
      </c>
      <c r="C2383" s="6"/>
      <c r="D2383" s="6">
        <v>300421.16</v>
      </c>
      <c r="E2383" s="6">
        <v>286710.03</v>
      </c>
      <c r="F2383" s="6">
        <f>D2383</f>
        <v>300421.16</v>
      </c>
      <c r="G2383" s="6"/>
      <c r="H2383" s="6">
        <f>-62435.1+15698-13711.13</f>
        <v>-60448.229999999996</v>
      </c>
    </row>
    <row r="2384" spans="1:8" ht="12.75">
      <c r="A2384" s="4">
        <v>2</v>
      </c>
      <c r="B2384" s="5" t="s">
        <v>21</v>
      </c>
      <c r="C2384" s="8"/>
      <c r="D2384" s="6"/>
      <c r="E2384" s="6"/>
      <c r="F2384" s="6"/>
      <c r="G2384" s="6"/>
      <c r="H2384" s="6"/>
    </row>
    <row r="2385" spans="1:8" ht="12.75">
      <c r="A2385" s="4">
        <v>3</v>
      </c>
      <c r="B2385" s="5" t="s">
        <v>22</v>
      </c>
      <c r="C2385" s="8"/>
      <c r="D2385" s="6">
        <v>132051.81</v>
      </c>
      <c r="E2385" s="6">
        <v>127247.91</v>
      </c>
      <c r="F2385" s="6">
        <f>D2385</f>
        <v>132051.81</v>
      </c>
      <c r="G2385" s="6"/>
      <c r="H2385" s="6">
        <f>-19938.68+6523-4803.9</f>
        <v>-18219.58</v>
      </c>
    </row>
    <row r="2386" spans="1:8" ht="22.5">
      <c r="A2386" s="4">
        <v>4</v>
      </c>
      <c r="B2386" s="5" t="s">
        <v>23</v>
      </c>
      <c r="C2386" s="8"/>
      <c r="D2386" s="6"/>
      <c r="E2386" s="6"/>
      <c r="F2386" s="6"/>
      <c r="G2386" s="6"/>
      <c r="H2386" s="6"/>
    </row>
    <row r="2387" spans="1:8" ht="22.5">
      <c r="A2387" s="4">
        <v>5</v>
      </c>
      <c r="B2387" s="5" t="s">
        <v>24</v>
      </c>
      <c r="C2387" s="8">
        <v>115239.88</v>
      </c>
      <c r="D2387" s="6">
        <v>64370.76</v>
      </c>
      <c r="E2387" s="6">
        <f>'[1]текущий 2017'!$B$3248</f>
        <v>81083.25999999998</v>
      </c>
      <c r="F2387" s="6">
        <f>'[1]текущий 2017'!$C$3249</f>
        <v>201857.34000000003</v>
      </c>
      <c r="G2387" s="6">
        <f>E2387-F2387+C2387</f>
        <v>-5534.200000000041</v>
      </c>
      <c r="H2387" s="6">
        <v>-18545.42</v>
      </c>
    </row>
    <row r="2388" spans="1:8" ht="22.5">
      <c r="A2388" s="4">
        <v>6</v>
      </c>
      <c r="B2388" s="5" t="s">
        <v>25</v>
      </c>
      <c r="C2388" s="8">
        <v>-45576.92</v>
      </c>
      <c r="D2388" s="6"/>
      <c r="E2388" s="6"/>
      <c r="F2388" s="6"/>
      <c r="G2388" s="6">
        <v>-45576.92</v>
      </c>
      <c r="H2388" s="6"/>
    </row>
    <row r="2389" spans="1:8" ht="22.5">
      <c r="A2389" s="4">
        <v>6.1</v>
      </c>
      <c r="B2389" s="5" t="s">
        <v>391</v>
      </c>
      <c r="C2389" s="8">
        <v>125786</v>
      </c>
      <c r="D2389" s="6"/>
      <c r="E2389" s="6"/>
      <c r="F2389" s="6"/>
      <c r="G2389" s="6"/>
      <c r="H2389" s="6"/>
    </row>
    <row r="2390" spans="1:8" ht="22.5">
      <c r="A2390" s="4">
        <v>7</v>
      </c>
      <c r="B2390" s="5" t="s">
        <v>26</v>
      </c>
      <c r="C2390" s="5"/>
      <c r="D2390" s="5">
        <f>D2391+D2392+D2393+D2394</f>
        <v>1520888.85</v>
      </c>
      <c r="E2390" s="8">
        <f>E2391+E2392+E2393+E2394</f>
        <v>1482509.7599999998</v>
      </c>
      <c r="F2390" s="8">
        <f>F2391+F2392+F2393+F2394</f>
        <v>1485577.23</v>
      </c>
      <c r="G2390" s="5">
        <f>G2391+G2392+G2393+G2394</f>
        <v>0</v>
      </c>
      <c r="H2390" s="5">
        <f>H2391+H2392+H2393+H2394</f>
        <v>-567768.03</v>
      </c>
    </row>
    <row r="2391" spans="1:8" ht="12.75">
      <c r="A2391" s="4" t="s">
        <v>27</v>
      </c>
      <c r="B2391" s="5" t="s">
        <v>28</v>
      </c>
      <c r="C2391" s="5"/>
      <c r="D2391" s="4">
        <v>38892.42</v>
      </c>
      <c r="E2391" s="6">
        <v>35824.95</v>
      </c>
      <c r="F2391" s="6">
        <f>D2391</f>
        <v>38892.42</v>
      </c>
      <c r="G2391" s="4"/>
      <c r="H2391" s="4">
        <f>-3067.47</f>
        <v>-3067.47</v>
      </c>
    </row>
    <row r="2392" spans="1:8" ht="33.75">
      <c r="A2392" s="4" t="s">
        <v>29</v>
      </c>
      <c r="B2392" s="5" t="s">
        <v>30</v>
      </c>
      <c r="C2392" s="5"/>
      <c r="D2392" s="4">
        <v>602206.39</v>
      </c>
      <c r="E2392" s="6">
        <v>587522.23</v>
      </c>
      <c r="F2392" s="6">
        <f>E2392</f>
        <v>587522.23</v>
      </c>
      <c r="G2392" s="4">
        <f>E2392-F2392</f>
        <v>0</v>
      </c>
      <c r="H2392" s="4">
        <f>-181643.79+15963-14684.16</f>
        <v>-180364.95</v>
      </c>
    </row>
    <row r="2393" spans="1:8" ht="22.5">
      <c r="A2393" s="4" t="s">
        <v>31</v>
      </c>
      <c r="B2393" s="5" t="s">
        <v>32</v>
      </c>
      <c r="C2393" s="5"/>
      <c r="D2393" s="4"/>
      <c r="E2393" s="6"/>
      <c r="F2393" s="6"/>
      <c r="G2393" s="4"/>
      <c r="H2393" s="4"/>
    </row>
    <row r="2394" spans="1:8" ht="22.5">
      <c r="A2394" s="4" t="s">
        <v>33</v>
      </c>
      <c r="B2394" s="5" t="s">
        <v>34</v>
      </c>
      <c r="C2394" s="5"/>
      <c r="D2394" s="4">
        <v>879790.04</v>
      </c>
      <c r="E2394" s="6">
        <v>859162.58</v>
      </c>
      <c r="F2394" s="6">
        <f>E2394</f>
        <v>859162.58</v>
      </c>
      <c r="G2394" s="4">
        <f>E2394-F2394</f>
        <v>0</v>
      </c>
      <c r="H2394" s="4">
        <f>-366964.15+3256-20627.46</f>
        <v>-384335.61000000004</v>
      </c>
    </row>
    <row r="2395" spans="1:8" ht="56.25">
      <c r="A2395" s="4"/>
      <c r="B2395" s="23" t="s">
        <v>389</v>
      </c>
      <c r="C2395" s="4">
        <v>10800</v>
      </c>
      <c r="D2395" s="4">
        <v>3600</v>
      </c>
      <c r="E2395" s="4">
        <v>3600</v>
      </c>
      <c r="F2395" s="4"/>
      <c r="G2395" s="4">
        <f>C2395+E2395</f>
        <v>14400</v>
      </c>
      <c r="H2395" s="4"/>
    </row>
    <row r="2396" spans="1:8" ht="0.75" customHeight="1">
      <c r="A2396" s="4"/>
      <c r="B2396" s="4"/>
      <c r="C2396" s="4" t="s">
        <v>429</v>
      </c>
      <c r="D2396" s="4"/>
      <c r="E2396" s="4"/>
      <c r="F2396" s="4"/>
      <c r="G2396" s="4"/>
      <c r="H2396" s="4"/>
    </row>
    <row r="2399" ht="9.75" customHeight="1"/>
    <row r="2400" ht="12.75" hidden="1"/>
    <row r="2401" ht="12.75" hidden="1"/>
    <row r="2402" ht="111.75" customHeight="1"/>
    <row r="2403" ht="12.75">
      <c r="A2403" t="s">
        <v>0</v>
      </c>
    </row>
    <row r="2404" ht="12.75">
      <c r="A2404" t="s">
        <v>291</v>
      </c>
    </row>
    <row r="2405" ht="12.75">
      <c r="A2405" t="s">
        <v>1</v>
      </c>
    </row>
    <row r="2406" ht="12.75">
      <c r="A2406" t="s">
        <v>416</v>
      </c>
    </row>
    <row r="2408" ht="12.75">
      <c r="A2408" t="s">
        <v>2</v>
      </c>
    </row>
    <row r="2410" ht="12.75">
      <c r="A2410" t="s">
        <v>235</v>
      </c>
    </row>
    <row r="2411" ht="12.75">
      <c r="A2411" t="s">
        <v>236</v>
      </c>
    </row>
    <row r="2412" ht="12.75">
      <c r="A2412" t="s">
        <v>4</v>
      </c>
    </row>
    <row r="2413" ht="12.75">
      <c r="A2413" t="s">
        <v>237</v>
      </c>
    </row>
    <row r="2414" ht="12.75">
      <c r="A2414" t="s">
        <v>184</v>
      </c>
    </row>
    <row r="2416" ht="12.75">
      <c r="A2416" t="s">
        <v>6</v>
      </c>
    </row>
    <row r="2417" ht="12.75">
      <c r="A2417" t="s">
        <v>7</v>
      </c>
    </row>
    <row r="2419" spans="1:8" ht="12.75">
      <c r="A2419" s="4" t="s">
        <v>8</v>
      </c>
      <c r="B2419" s="4" t="s">
        <v>13</v>
      </c>
      <c r="C2419" s="4" t="s">
        <v>9</v>
      </c>
      <c r="D2419" s="4" t="s">
        <v>10</v>
      </c>
      <c r="E2419" s="4" t="s">
        <v>15</v>
      </c>
      <c r="F2419" s="4" t="s">
        <v>16</v>
      </c>
      <c r="G2419" s="4" t="s">
        <v>9</v>
      </c>
      <c r="H2419" s="4" t="s">
        <v>11</v>
      </c>
    </row>
    <row r="2420" spans="1:8" ht="12.75">
      <c r="A2420" s="4"/>
      <c r="B2420" s="4"/>
      <c r="C2420" s="4" t="s">
        <v>417</v>
      </c>
      <c r="D2420" s="4" t="s">
        <v>418</v>
      </c>
      <c r="E2420" s="4" t="s">
        <v>14</v>
      </c>
      <c r="F2420" s="4" t="s">
        <v>17</v>
      </c>
      <c r="G2420" s="4" t="s">
        <v>420</v>
      </c>
      <c r="H2420" s="4" t="s">
        <v>12</v>
      </c>
    </row>
    <row r="2421" spans="1:8" ht="12.75">
      <c r="A2421" s="4"/>
      <c r="B2421" s="4"/>
      <c r="C2421" s="4"/>
      <c r="D2421" s="4"/>
      <c r="E2421" s="4" t="s">
        <v>419</v>
      </c>
      <c r="F2421" s="4" t="s">
        <v>419</v>
      </c>
      <c r="G2421" s="4"/>
      <c r="H2421" s="4" t="s">
        <v>421</v>
      </c>
    </row>
    <row r="2422" spans="1:8" ht="12.75">
      <c r="A2422" s="4"/>
      <c r="B2422" s="4"/>
      <c r="C2422" s="4"/>
      <c r="D2422" s="4"/>
      <c r="E2422" s="4"/>
      <c r="F2422" s="4"/>
      <c r="G2422" s="4"/>
      <c r="H2422" s="4"/>
    </row>
    <row r="2423" spans="1:8" ht="22.5">
      <c r="A2423" s="4">
        <v>1</v>
      </c>
      <c r="B2423" s="5" t="s">
        <v>18</v>
      </c>
      <c r="C2423" s="6"/>
      <c r="D2423" s="6">
        <v>310737.48</v>
      </c>
      <c r="E2423" s="6">
        <v>308189.61</v>
      </c>
      <c r="F2423" s="6">
        <f>D2423</f>
        <v>310737.48</v>
      </c>
      <c r="G2423" s="6"/>
      <c r="H2423" s="6">
        <f>-109108.78+2563-2547.87</f>
        <v>-109093.65</v>
      </c>
    </row>
    <row r="2424" spans="1:8" ht="12.75">
      <c r="A2424" s="4">
        <v>2</v>
      </c>
      <c r="B2424" s="5" t="s">
        <v>21</v>
      </c>
      <c r="C2424" s="8"/>
      <c r="D2424" s="6"/>
      <c r="E2424" s="6"/>
      <c r="F2424" s="6"/>
      <c r="G2424" s="6"/>
      <c r="H2424" s="6"/>
    </row>
    <row r="2425" spans="1:8" ht="12.75">
      <c r="A2425" s="4">
        <v>3</v>
      </c>
      <c r="B2425" s="5" t="s">
        <v>22</v>
      </c>
      <c r="C2425" s="8"/>
      <c r="D2425" s="6">
        <v>133579.05</v>
      </c>
      <c r="E2425" s="6">
        <v>130405.6</v>
      </c>
      <c r="F2425" s="6">
        <f>D2425</f>
        <v>133579.05</v>
      </c>
      <c r="G2425" s="6"/>
      <c r="H2425" s="6">
        <f>-36852+245646-3173.45</f>
        <v>205620.55</v>
      </c>
    </row>
    <row r="2426" spans="1:8" ht="22.5">
      <c r="A2426" s="4">
        <v>4</v>
      </c>
      <c r="B2426" s="5" t="s">
        <v>23</v>
      </c>
      <c r="C2426" s="8"/>
      <c r="D2426" s="6"/>
      <c r="E2426" s="6"/>
      <c r="F2426" s="6"/>
      <c r="G2426" s="6"/>
      <c r="H2426" s="6"/>
    </row>
    <row r="2427" spans="1:8" ht="22.5">
      <c r="A2427" s="4">
        <v>5</v>
      </c>
      <c r="B2427" s="5" t="s">
        <v>24</v>
      </c>
      <c r="C2427" s="8">
        <v>28803.94</v>
      </c>
      <c r="D2427" s="6">
        <v>65115.96</v>
      </c>
      <c r="E2427" s="6">
        <f>'[1]текущий 2017'!$B$3299</f>
        <v>73266.35</v>
      </c>
      <c r="F2427" s="6">
        <f>'[1]текущий 2017'!$C$3300</f>
        <v>123100.11</v>
      </c>
      <c r="G2427" s="6">
        <f>E2427-F2427+C2427</f>
        <v>-21029.819999999996</v>
      </c>
      <c r="H2427" s="6">
        <v>-32970.27</v>
      </c>
    </row>
    <row r="2428" spans="1:8" ht="22.5">
      <c r="A2428" s="4">
        <v>6</v>
      </c>
      <c r="B2428" s="5" t="s">
        <v>25</v>
      </c>
      <c r="C2428" s="8">
        <v>0</v>
      </c>
      <c r="D2428" s="6"/>
      <c r="E2428" s="6">
        <v>0</v>
      </c>
      <c r="F2428" s="6"/>
      <c r="G2428" s="6">
        <f>C2428+E2428-F2428</f>
        <v>0</v>
      </c>
      <c r="H2428" s="6"/>
    </row>
    <row r="2429" spans="1:8" ht="22.5">
      <c r="A2429" s="4">
        <v>6.1</v>
      </c>
      <c r="B2429" s="5" t="s">
        <v>410</v>
      </c>
      <c r="C2429" s="8">
        <v>130329</v>
      </c>
      <c r="D2429" s="6"/>
      <c r="E2429" s="6"/>
      <c r="F2429" s="6"/>
      <c r="G2429" s="6"/>
      <c r="H2429" s="6"/>
    </row>
    <row r="2430" spans="1:8" ht="22.5">
      <c r="A2430" s="4">
        <v>7</v>
      </c>
      <c r="B2430" s="5" t="s">
        <v>26</v>
      </c>
      <c r="C2430" s="5"/>
      <c r="D2430" s="5">
        <f>D2431+D2432+D2433+D2434</f>
        <v>1453062.31</v>
      </c>
      <c r="E2430" s="8">
        <f>E2431+E2432+E2433+E2434</f>
        <v>1412506.32</v>
      </c>
      <c r="F2430" s="8">
        <f>F2431+F2432+F2433+F2434</f>
        <v>1417282.92</v>
      </c>
      <c r="G2430" s="5">
        <f>G2431+G2432+G2433+G2434</f>
        <v>0</v>
      </c>
      <c r="H2430" s="5">
        <f>H2431+H2432+H2433+H2434</f>
        <v>-770784.6499999999</v>
      </c>
    </row>
    <row r="2431" spans="1:8" ht="12.75">
      <c r="A2431" s="4" t="s">
        <v>27</v>
      </c>
      <c r="B2431" s="5" t="s">
        <v>28</v>
      </c>
      <c r="C2431" s="5"/>
      <c r="D2431" s="4">
        <v>38243.16</v>
      </c>
      <c r="E2431" s="6">
        <v>33466.56</v>
      </c>
      <c r="F2431" s="6">
        <f>D2431</f>
        <v>38243.16</v>
      </c>
      <c r="G2431" s="4"/>
      <c r="H2431" s="4">
        <f>-4776.6</f>
        <v>-4776.6</v>
      </c>
    </row>
    <row r="2432" spans="1:8" ht="33.75">
      <c r="A2432" s="4" t="s">
        <v>29</v>
      </c>
      <c r="B2432" s="5" t="s">
        <v>30</v>
      </c>
      <c r="C2432" s="5"/>
      <c r="D2432" s="4">
        <v>565545.1</v>
      </c>
      <c r="E2432" s="6">
        <v>545646.95</v>
      </c>
      <c r="F2432" s="6">
        <f>E2432</f>
        <v>545646.95</v>
      </c>
      <c r="G2432" s="4">
        <f>E2432-F2432</f>
        <v>0</v>
      </c>
      <c r="H2432" s="4">
        <f>-242725.1-5698-19898.15</f>
        <v>-268321.25</v>
      </c>
    </row>
    <row r="2433" spans="1:8" ht="22.5">
      <c r="A2433" s="4" t="s">
        <v>31</v>
      </c>
      <c r="B2433" s="5" t="s">
        <v>32</v>
      </c>
      <c r="C2433" s="5"/>
      <c r="D2433" s="4"/>
      <c r="E2433" s="6"/>
      <c r="F2433" s="6"/>
      <c r="G2433" s="4"/>
      <c r="H2433" s="4"/>
    </row>
    <row r="2434" spans="1:8" ht="22.5">
      <c r="A2434" s="4" t="s">
        <v>33</v>
      </c>
      <c r="B2434" s="5" t="s">
        <v>34</v>
      </c>
      <c r="C2434" s="5"/>
      <c r="D2434" s="4">
        <v>849274.05</v>
      </c>
      <c r="E2434" s="6">
        <v>833392.81</v>
      </c>
      <c r="F2434" s="6">
        <f>E2434</f>
        <v>833392.81</v>
      </c>
      <c r="G2434" s="4">
        <f>E2434-F2434</f>
        <v>0</v>
      </c>
      <c r="H2434" s="4">
        <f>-412851.56-68954-15881.24</f>
        <v>-497686.8</v>
      </c>
    </row>
    <row r="2435" spans="1:8" ht="56.25">
      <c r="A2435" s="4"/>
      <c r="B2435" s="23" t="s">
        <v>389</v>
      </c>
      <c r="C2435" s="4">
        <v>10800</v>
      </c>
      <c r="D2435" s="4">
        <v>3600</v>
      </c>
      <c r="E2435" s="4">
        <v>3600</v>
      </c>
      <c r="F2435" s="4"/>
      <c r="G2435" s="4">
        <f>C2435+E2435</f>
        <v>14400</v>
      </c>
      <c r="H2435" s="4"/>
    </row>
    <row r="2436" spans="1:8" ht="12.75">
      <c r="A2436" s="4"/>
      <c r="B2436" s="4"/>
      <c r="C2436" s="4"/>
      <c r="D2436" s="4"/>
      <c r="E2436" s="4"/>
      <c r="F2436" s="4"/>
      <c r="G2436" s="4"/>
      <c r="H2436" s="4"/>
    </row>
    <row r="2439" ht="11.25" customHeight="1"/>
    <row r="2440" ht="12.75" hidden="1"/>
    <row r="2441" ht="12.75" hidden="1"/>
    <row r="2442" ht="100.5" customHeight="1"/>
    <row r="2443" ht="12.75">
      <c r="A2443" t="s">
        <v>0</v>
      </c>
    </row>
    <row r="2444" ht="12.75">
      <c r="A2444" t="s">
        <v>291</v>
      </c>
    </row>
    <row r="2445" ht="12.75">
      <c r="A2445" t="s">
        <v>1</v>
      </c>
    </row>
    <row r="2446" ht="12.75">
      <c r="A2446" t="s">
        <v>416</v>
      </c>
    </row>
    <row r="2448" ht="12.75">
      <c r="A2448" t="s">
        <v>2</v>
      </c>
    </row>
    <row r="2450" ht="12.75">
      <c r="A2450" t="s">
        <v>238</v>
      </c>
    </row>
    <row r="2451" ht="12.75">
      <c r="A2451" t="s">
        <v>239</v>
      </c>
    </row>
    <row r="2452" ht="12.75">
      <c r="A2452" t="s">
        <v>4</v>
      </c>
    </row>
    <row r="2453" ht="12.75">
      <c r="A2453" t="s">
        <v>240</v>
      </c>
    </row>
    <row r="2454" ht="12.75">
      <c r="A2454" t="s">
        <v>184</v>
      </c>
    </row>
    <row r="2456" ht="12.75">
      <c r="A2456" t="s">
        <v>6</v>
      </c>
    </row>
    <row r="2457" ht="12.75">
      <c r="A2457" t="s">
        <v>7</v>
      </c>
    </row>
    <row r="2459" spans="1:8" ht="12.75">
      <c r="A2459" s="4" t="s">
        <v>8</v>
      </c>
      <c r="B2459" s="4" t="s">
        <v>13</v>
      </c>
      <c r="C2459" s="4" t="s">
        <v>9</v>
      </c>
      <c r="D2459" s="4" t="s">
        <v>10</v>
      </c>
      <c r="E2459" s="4" t="s">
        <v>15</v>
      </c>
      <c r="F2459" s="4" t="s">
        <v>16</v>
      </c>
      <c r="G2459" s="4" t="s">
        <v>9</v>
      </c>
      <c r="H2459" s="4" t="s">
        <v>11</v>
      </c>
    </row>
    <row r="2460" spans="1:8" ht="12.75">
      <c r="A2460" s="4"/>
      <c r="B2460" s="4"/>
      <c r="C2460" s="4" t="s">
        <v>417</v>
      </c>
      <c r="D2460" s="4" t="s">
        <v>418</v>
      </c>
      <c r="E2460" s="4" t="s">
        <v>14</v>
      </c>
      <c r="F2460" s="4" t="s">
        <v>17</v>
      </c>
      <c r="G2460" s="4" t="s">
        <v>420</v>
      </c>
      <c r="H2460" s="4" t="s">
        <v>12</v>
      </c>
    </row>
    <row r="2461" spans="1:8" ht="12.75">
      <c r="A2461" s="4"/>
      <c r="B2461" s="4"/>
      <c r="C2461" s="4"/>
      <c r="D2461" s="4"/>
      <c r="E2461" s="4" t="s">
        <v>419</v>
      </c>
      <c r="F2461" s="4" t="s">
        <v>419</v>
      </c>
      <c r="G2461" s="4"/>
      <c r="H2461" s="4" t="s">
        <v>421</v>
      </c>
    </row>
    <row r="2462" spans="1:8" ht="12.75">
      <c r="A2462" s="4"/>
      <c r="B2462" s="4"/>
      <c r="C2462" s="4"/>
      <c r="D2462" s="4"/>
      <c r="E2462" s="4"/>
      <c r="F2462" s="4"/>
      <c r="G2462" s="4"/>
      <c r="H2462" s="4"/>
    </row>
    <row r="2463" spans="1:8" ht="22.5">
      <c r="A2463" s="4">
        <v>1</v>
      </c>
      <c r="B2463" s="5" t="s">
        <v>18</v>
      </c>
      <c r="C2463" s="6"/>
      <c r="D2463" s="6">
        <v>29506.5</v>
      </c>
      <c r="E2463" s="6">
        <v>251857.4</v>
      </c>
      <c r="F2463" s="6">
        <f>D2463</f>
        <v>29506.5</v>
      </c>
      <c r="G2463" s="6"/>
      <c r="H2463" s="6">
        <f>-22806.16+700-7649.2</f>
        <v>-29755.36</v>
      </c>
    </row>
    <row r="2464" spans="1:8" ht="12.75">
      <c r="A2464" s="4">
        <v>2</v>
      </c>
      <c r="B2464" s="5" t="s">
        <v>21</v>
      </c>
      <c r="C2464" s="8"/>
      <c r="D2464" s="6"/>
      <c r="E2464" s="6"/>
      <c r="F2464" s="6"/>
      <c r="G2464" s="6"/>
      <c r="H2464" s="6"/>
    </row>
    <row r="2465" spans="1:8" ht="12.75">
      <c r="A2465" s="4">
        <v>3</v>
      </c>
      <c r="B2465" s="5" t="s">
        <v>22</v>
      </c>
      <c r="C2465" s="8"/>
      <c r="D2465" s="6">
        <v>113732.46</v>
      </c>
      <c r="E2465" s="6">
        <v>112192.88</v>
      </c>
      <c r="F2465" s="6">
        <f>D2465</f>
        <v>113732.46</v>
      </c>
      <c r="G2465" s="6"/>
      <c r="H2465" s="6">
        <f>-6978.25+400-1539.58</f>
        <v>-8117.83</v>
      </c>
    </row>
    <row r="2466" spans="1:8" ht="22.5">
      <c r="A2466" s="4">
        <v>4</v>
      </c>
      <c r="B2466" s="5" t="s">
        <v>23</v>
      </c>
      <c r="C2466" s="8"/>
      <c r="D2466" s="6"/>
      <c r="E2466" s="6"/>
      <c r="F2466" s="6"/>
      <c r="G2466" s="6"/>
      <c r="H2466" s="6"/>
    </row>
    <row r="2467" spans="1:8" ht="22.5">
      <c r="A2467" s="4">
        <v>5</v>
      </c>
      <c r="B2467" s="5" t="s">
        <v>24</v>
      </c>
      <c r="C2467" s="8">
        <v>25316.41</v>
      </c>
      <c r="D2467" s="6">
        <v>55439.76</v>
      </c>
      <c r="E2467" s="6">
        <f>'[1]текущий 2017'!$B$3350</f>
        <v>238397.13</v>
      </c>
      <c r="F2467" s="6">
        <f>'[1]текущий 2017'!$C$3351</f>
        <v>240709.02000000002</v>
      </c>
      <c r="G2467" s="6">
        <f>E2467-F2467+C2467</f>
        <v>23004.519999999986</v>
      </c>
      <c r="H2467" s="6">
        <v>-8512.56</v>
      </c>
    </row>
    <row r="2468" spans="1:8" ht="22.5">
      <c r="A2468" s="4">
        <v>6</v>
      </c>
      <c r="B2468" s="5" t="s">
        <v>25</v>
      </c>
      <c r="C2468" s="8">
        <v>0</v>
      </c>
      <c r="D2468" s="6"/>
      <c r="E2468" s="6"/>
      <c r="F2468" s="6">
        <v>0</v>
      </c>
      <c r="G2468" s="6">
        <f>C2468+E2468-F2468</f>
        <v>0</v>
      </c>
      <c r="H2468" s="6">
        <v>-4258.57</v>
      </c>
    </row>
    <row r="2469" spans="1:8" ht="22.5">
      <c r="A2469" s="4">
        <v>6.1</v>
      </c>
      <c r="B2469" s="5" t="s">
        <v>391</v>
      </c>
      <c r="C2469" s="8">
        <v>110426</v>
      </c>
      <c r="D2469" s="6"/>
      <c r="E2469" s="6"/>
      <c r="F2469" s="6"/>
      <c r="G2469" s="6"/>
      <c r="H2469" s="6">
        <v>-4258.57</v>
      </c>
    </row>
    <row r="2470" spans="1:8" ht="22.5">
      <c r="A2470" s="4">
        <v>7</v>
      </c>
      <c r="B2470" s="5" t="s">
        <v>26</v>
      </c>
      <c r="C2470" s="5"/>
      <c r="D2470" s="5">
        <f>D2471+D2472+D2473+D2474</f>
        <v>1105485.3</v>
      </c>
      <c r="E2470" s="8">
        <f>E2471+E2472+E2473+E2474</f>
        <v>1081741.6400000001</v>
      </c>
      <c r="F2470" s="8">
        <f>F2471+F2472+F2473+F2474</f>
        <v>1082763.49</v>
      </c>
      <c r="G2470" s="5">
        <f>G2471+G2472+G2473+G2474</f>
        <v>0</v>
      </c>
      <c r="H2470" s="5">
        <f>H2471+H2472+H2473+H2474</f>
        <v>-219286.72</v>
      </c>
    </row>
    <row r="2471" spans="1:8" ht="12.75">
      <c r="A2471" s="4" t="s">
        <v>27</v>
      </c>
      <c r="B2471" s="5" t="s">
        <v>28</v>
      </c>
      <c r="C2471" s="5"/>
      <c r="D2471" s="4">
        <v>32115.6</v>
      </c>
      <c r="E2471" s="6">
        <v>31093.75</v>
      </c>
      <c r="F2471" s="6">
        <f>D2471</f>
        <v>32115.6</v>
      </c>
      <c r="G2471" s="4"/>
      <c r="H2471" s="4">
        <f>-1021.85</f>
        <v>-1021.85</v>
      </c>
    </row>
    <row r="2472" spans="1:8" ht="33.75">
      <c r="A2472" s="4" t="s">
        <v>29</v>
      </c>
      <c r="B2472" s="5" t="s">
        <v>30</v>
      </c>
      <c r="C2472" s="5"/>
      <c r="D2472" s="4">
        <v>280880.45</v>
      </c>
      <c r="E2472" s="6">
        <v>280523.73</v>
      </c>
      <c r="F2472" s="6">
        <f>E2472</f>
        <v>280523.73</v>
      </c>
      <c r="G2472" s="4">
        <f>E2472-F2472</f>
        <v>0</v>
      </c>
      <c r="H2472" s="4">
        <f>-30971.58+2569-356.72</f>
        <v>-28759.300000000003</v>
      </c>
    </row>
    <row r="2473" spans="1:8" ht="22.5">
      <c r="A2473" s="4" t="s">
        <v>31</v>
      </c>
      <c r="B2473" s="5" t="s">
        <v>32</v>
      </c>
      <c r="C2473" s="5"/>
      <c r="D2473" s="4"/>
      <c r="E2473" s="6"/>
      <c r="F2473" s="6"/>
      <c r="G2473" s="4"/>
      <c r="H2473" s="4"/>
    </row>
    <row r="2474" spans="1:8" ht="22.5">
      <c r="A2474" s="4" t="s">
        <v>33</v>
      </c>
      <c r="B2474" s="5" t="s">
        <v>34</v>
      </c>
      <c r="C2474" s="5"/>
      <c r="D2474" s="4">
        <v>792489.25</v>
      </c>
      <c r="E2474" s="6">
        <v>770124.16</v>
      </c>
      <c r="F2474" s="6">
        <f>E2474</f>
        <v>770124.16</v>
      </c>
      <c r="G2474" s="4">
        <f>E2474-F2474</f>
        <v>0</v>
      </c>
      <c r="H2474" s="4">
        <f>-169709.48+2569-22365.09</f>
        <v>-189505.57</v>
      </c>
    </row>
    <row r="2475" spans="1:8" ht="56.25">
      <c r="A2475" s="4"/>
      <c r="B2475" s="23" t="s">
        <v>389</v>
      </c>
      <c r="C2475" s="4">
        <v>10800</v>
      </c>
      <c r="D2475" s="4">
        <v>3600</v>
      </c>
      <c r="E2475" s="4">
        <v>3600</v>
      </c>
      <c r="F2475" s="4"/>
      <c r="G2475" s="4">
        <f>C2475+E2475</f>
        <v>14400</v>
      </c>
      <c r="H2475" s="4"/>
    </row>
    <row r="2476" spans="1:8" ht="12.75">
      <c r="A2476" s="4"/>
      <c r="B2476" s="4"/>
      <c r="C2476" s="4"/>
      <c r="D2476" s="4"/>
      <c r="E2476" s="4"/>
      <c r="F2476" s="4"/>
      <c r="G2476" s="4"/>
      <c r="H2476" s="4"/>
    </row>
    <row r="2480" ht="12.75" hidden="1"/>
    <row r="2481" ht="12.75" hidden="1"/>
    <row r="2482" ht="101.25" customHeight="1"/>
    <row r="2483" ht="12.75">
      <c r="A2483" t="s">
        <v>0</v>
      </c>
    </row>
    <row r="2484" ht="12.75">
      <c r="A2484" t="s">
        <v>291</v>
      </c>
    </row>
    <row r="2485" ht="12.75">
      <c r="A2485" t="s">
        <v>1</v>
      </c>
    </row>
    <row r="2486" ht="12.75">
      <c r="A2486" t="s">
        <v>416</v>
      </c>
    </row>
    <row r="2488" ht="12.75">
      <c r="A2488" t="s">
        <v>2</v>
      </c>
    </row>
    <row r="2490" ht="12.75">
      <c r="A2490" t="s">
        <v>241</v>
      </c>
    </row>
    <row r="2491" ht="12.75">
      <c r="A2491" t="s">
        <v>242</v>
      </c>
    </row>
    <row r="2492" ht="12.75">
      <c r="A2492" t="s">
        <v>4</v>
      </c>
    </row>
    <row r="2493" ht="12.75">
      <c r="A2493" t="s">
        <v>244</v>
      </c>
    </row>
    <row r="2494" ht="12.75">
      <c r="A2494" t="s">
        <v>243</v>
      </c>
    </row>
    <row r="2496" ht="12.75">
      <c r="A2496" t="s">
        <v>6</v>
      </c>
    </row>
    <row r="2497" ht="12.75">
      <c r="A2497" t="s">
        <v>7</v>
      </c>
    </row>
    <row r="2499" spans="1:8" ht="12.75">
      <c r="A2499" s="4" t="s">
        <v>8</v>
      </c>
      <c r="B2499" s="4" t="s">
        <v>13</v>
      </c>
      <c r="C2499" s="4" t="s">
        <v>9</v>
      </c>
      <c r="D2499" s="4" t="s">
        <v>10</v>
      </c>
      <c r="E2499" s="4" t="s">
        <v>15</v>
      </c>
      <c r="F2499" s="4" t="s">
        <v>16</v>
      </c>
      <c r="G2499" s="4" t="s">
        <v>9</v>
      </c>
      <c r="H2499" s="4" t="s">
        <v>11</v>
      </c>
    </row>
    <row r="2500" spans="1:8" ht="12.75">
      <c r="A2500" s="4"/>
      <c r="B2500" s="4"/>
      <c r="C2500" s="4" t="s">
        <v>417</v>
      </c>
      <c r="D2500" s="4" t="s">
        <v>418</v>
      </c>
      <c r="E2500" s="4" t="s">
        <v>14</v>
      </c>
      <c r="F2500" s="4" t="s">
        <v>17</v>
      </c>
      <c r="G2500" s="4" t="s">
        <v>420</v>
      </c>
      <c r="H2500" s="4" t="s">
        <v>12</v>
      </c>
    </row>
    <row r="2501" spans="1:8" ht="12.75">
      <c r="A2501" s="4"/>
      <c r="B2501" s="4"/>
      <c r="C2501" s="4"/>
      <c r="D2501" s="4"/>
      <c r="E2501" s="4" t="s">
        <v>419</v>
      </c>
      <c r="F2501" s="4" t="s">
        <v>419</v>
      </c>
      <c r="G2501" s="4"/>
      <c r="H2501" s="4" t="s">
        <v>421</v>
      </c>
    </row>
    <row r="2502" spans="1:8" ht="12.75">
      <c r="A2502" s="4"/>
      <c r="B2502" s="4"/>
      <c r="C2502" s="4"/>
      <c r="D2502" s="4"/>
      <c r="E2502" s="4"/>
      <c r="F2502" s="4"/>
      <c r="G2502" s="4"/>
      <c r="H2502" s="4"/>
    </row>
    <row r="2503" spans="1:8" ht="22.5">
      <c r="A2503" s="4">
        <v>1</v>
      </c>
      <c r="B2503" s="5" t="s">
        <v>18</v>
      </c>
      <c r="C2503" s="6"/>
      <c r="D2503" s="6">
        <v>257172.16</v>
      </c>
      <c r="E2503" s="6">
        <v>253361.2</v>
      </c>
      <c r="F2503" s="6">
        <f>D2503</f>
        <v>257172.16</v>
      </c>
      <c r="G2503" s="6"/>
      <c r="H2503" s="6">
        <f>-32917.74+5698-3810.96</f>
        <v>-31030.699999999997</v>
      </c>
    </row>
    <row r="2504" spans="1:8" ht="12.75">
      <c r="A2504" s="4">
        <v>2</v>
      </c>
      <c r="B2504" s="5" t="s">
        <v>21</v>
      </c>
      <c r="C2504" s="8"/>
      <c r="D2504" s="6"/>
      <c r="E2504" s="6"/>
      <c r="F2504" s="6"/>
      <c r="G2504" s="6"/>
      <c r="H2504" s="6"/>
    </row>
    <row r="2505" spans="1:8" ht="12.75">
      <c r="A2505" s="4">
        <v>3</v>
      </c>
      <c r="B2505" s="5" t="s">
        <v>22</v>
      </c>
      <c r="C2505" s="8"/>
      <c r="D2505" s="6">
        <v>109511.7</v>
      </c>
      <c r="E2505" s="6">
        <v>106176.66</v>
      </c>
      <c r="F2505" s="6">
        <f>D2505</f>
        <v>109511.7</v>
      </c>
      <c r="G2505" s="6"/>
      <c r="H2505" s="6">
        <f>-10299.13+1925-3335.04</f>
        <v>-11709.169999999998</v>
      </c>
    </row>
    <row r="2506" spans="1:8" ht="22.5">
      <c r="A2506" s="4">
        <v>4</v>
      </c>
      <c r="B2506" s="5" t="s">
        <v>23</v>
      </c>
      <c r="C2506" s="8"/>
      <c r="D2506" s="6"/>
      <c r="E2506" s="6"/>
      <c r="F2506" s="6"/>
      <c r="G2506" s="6"/>
      <c r="H2506" s="6"/>
    </row>
    <row r="2507" spans="1:8" ht="22.5">
      <c r="A2507" s="4">
        <v>5</v>
      </c>
      <c r="B2507" s="5" t="s">
        <v>24</v>
      </c>
      <c r="C2507" s="8">
        <v>-115628.46</v>
      </c>
      <c r="D2507" s="6">
        <v>53482.44</v>
      </c>
      <c r="E2507" s="6">
        <f>'[1]текущий 2017'!$B$3401</f>
        <v>59844.630000000005</v>
      </c>
      <c r="F2507" s="6">
        <f>'[1]текущий 2017'!$C$3402</f>
        <v>33809.25</v>
      </c>
      <c r="G2507" s="6">
        <f>E2507-F2507+C2507</f>
        <v>-89593.08</v>
      </c>
      <c r="H2507" s="6">
        <v>-12662.91</v>
      </c>
    </row>
    <row r="2508" spans="1:8" ht="22.5">
      <c r="A2508" s="4">
        <v>6</v>
      </c>
      <c r="B2508" s="5" t="s">
        <v>25</v>
      </c>
      <c r="C2508" s="8">
        <v>60577.69</v>
      </c>
      <c r="D2508" s="6"/>
      <c r="E2508" s="6"/>
      <c r="F2508" s="6"/>
      <c r="G2508" s="6">
        <v>60577.69</v>
      </c>
      <c r="H2508" s="6">
        <v>-4255.66</v>
      </c>
    </row>
    <row r="2509" spans="1:8" ht="22.5">
      <c r="A2509" s="4">
        <v>6.1</v>
      </c>
      <c r="B2509" s="5" t="s">
        <v>391</v>
      </c>
      <c r="C2509" s="8">
        <v>107575</v>
      </c>
      <c r="D2509" s="6"/>
      <c r="E2509" s="6"/>
      <c r="F2509" s="6"/>
      <c r="G2509" s="6"/>
      <c r="H2509" s="6">
        <v>-4255.66</v>
      </c>
    </row>
    <row r="2510" spans="1:8" ht="22.5">
      <c r="A2510" s="4">
        <v>7</v>
      </c>
      <c r="B2510" s="5" t="s">
        <v>26</v>
      </c>
      <c r="C2510" s="5"/>
      <c r="D2510" s="5">
        <f>D2511+D2512+D2513+D2514</f>
        <v>1015823.63</v>
      </c>
      <c r="E2510" s="8">
        <f>E2511+E2512+E2513+E2514</f>
        <v>1002409.53</v>
      </c>
      <c r="F2510" s="8">
        <f>F2511+F2512+F2513+F2514</f>
        <v>1002592.3599999999</v>
      </c>
      <c r="G2510" s="5">
        <f>G2511+G2512+G2513+G2514</f>
        <v>0</v>
      </c>
      <c r="H2510" s="5">
        <f>H2511+H2512+H2513+H2514</f>
        <v>-216666.63</v>
      </c>
    </row>
    <row r="2511" spans="1:8" ht="12.75">
      <c r="A2511" s="4" t="s">
        <v>27</v>
      </c>
      <c r="B2511" s="5" t="s">
        <v>28</v>
      </c>
      <c r="C2511" s="5"/>
      <c r="D2511" s="4">
        <v>31677.73</v>
      </c>
      <c r="E2511" s="6">
        <v>31494.9</v>
      </c>
      <c r="F2511" s="6">
        <f>D2511</f>
        <v>31677.73</v>
      </c>
      <c r="G2511" s="4"/>
      <c r="H2511" s="4">
        <f>-182.83</f>
        <v>-182.83</v>
      </c>
    </row>
    <row r="2512" spans="1:8" ht="33.75">
      <c r="A2512" s="4" t="s">
        <v>29</v>
      </c>
      <c r="B2512" s="5" t="s">
        <v>30</v>
      </c>
      <c r="C2512" s="5"/>
      <c r="D2512" s="4">
        <v>329855.89</v>
      </c>
      <c r="E2512" s="6">
        <v>321727.43</v>
      </c>
      <c r="F2512" s="6">
        <f>E2512</f>
        <v>321727.43</v>
      </c>
      <c r="G2512" s="4">
        <f>E2512-F2512</f>
        <v>0</v>
      </c>
      <c r="H2512" s="4">
        <f>-24884.08+400-8128.46</f>
        <v>-32612.54</v>
      </c>
    </row>
    <row r="2513" spans="1:8" ht="22.5">
      <c r="A2513" s="4" t="s">
        <v>31</v>
      </c>
      <c r="B2513" s="5" t="s">
        <v>32</v>
      </c>
      <c r="C2513" s="5"/>
      <c r="D2513" s="4"/>
      <c r="E2513" s="6"/>
      <c r="F2513" s="6"/>
      <c r="G2513" s="4"/>
      <c r="H2513" s="4"/>
    </row>
    <row r="2514" spans="1:8" ht="22.5">
      <c r="A2514" s="4" t="s">
        <v>33</v>
      </c>
      <c r="B2514" s="5" t="s">
        <v>34</v>
      </c>
      <c r="C2514" s="5"/>
      <c r="D2514" s="4">
        <v>654290.01</v>
      </c>
      <c r="E2514" s="6">
        <v>649187.2</v>
      </c>
      <c r="F2514" s="6">
        <f>E2514</f>
        <v>649187.2</v>
      </c>
      <c r="G2514" s="4">
        <f>E2514-F2514</f>
        <v>0</v>
      </c>
      <c r="H2514" s="4">
        <f>-168512-10256.45-5102.81</f>
        <v>-183871.26</v>
      </c>
    </row>
    <row r="2515" spans="1:8" ht="56.25">
      <c r="A2515" s="4"/>
      <c r="B2515" s="23" t="s">
        <v>389</v>
      </c>
      <c r="C2515" s="4">
        <v>21600</v>
      </c>
      <c r="D2515" s="4">
        <v>7200</v>
      </c>
      <c r="E2515" s="4">
        <v>7200</v>
      </c>
      <c r="F2515" s="4"/>
      <c r="G2515" s="4">
        <f>C2515+E2515</f>
        <v>28800</v>
      </c>
      <c r="H2515" s="4"/>
    </row>
    <row r="2516" spans="1:8" ht="12.75">
      <c r="A2516" s="4"/>
      <c r="B2516" s="4"/>
      <c r="C2516" s="4"/>
      <c r="D2516" s="4"/>
      <c r="E2516" s="4"/>
      <c r="F2516" s="4"/>
      <c r="G2516" s="4"/>
      <c r="H2516" s="4"/>
    </row>
    <row r="2522" ht="75.75" customHeight="1"/>
    <row r="2523" ht="12.75">
      <c r="A2523" t="s">
        <v>0</v>
      </c>
    </row>
    <row r="2524" ht="12.75">
      <c r="A2524" t="s">
        <v>291</v>
      </c>
    </row>
    <row r="2525" ht="12.75">
      <c r="A2525" t="s">
        <v>1</v>
      </c>
    </row>
    <row r="2526" ht="12.75">
      <c r="A2526" t="s">
        <v>416</v>
      </c>
    </row>
    <row r="2528" ht="12.75">
      <c r="A2528" t="s">
        <v>2</v>
      </c>
    </row>
    <row r="2530" ht="12.75">
      <c r="A2530" t="s">
        <v>245</v>
      </c>
    </row>
    <row r="2531" ht="12.75">
      <c r="A2531" t="s">
        <v>246</v>
      </c>
    </row>
    <row r="2532" ht="12.75">
      <c r="A2532" t="s">
        <v>4</v>
      </c>
    </row>
    <row r="2533" ht="12.75">
      <c r="A2533" t="s">
        <v>247</v>
      </c>
    </row>
    <row r="2534" ht="12.75">
      <c r="A2534" t="s">
        <v>184</v>
      </c>
    </row>
    <row r="2536" ht="12.75">
      <c r="A2536" t="s">
        <v>6</v>
      </c>
    </row>
    <row r="2537" ht="12.75">
      <c r="A2537" t="s">
        <v>7</v>
      </c>
    </row>
    <row r="2539" spans="1:8" ht="12.75">
      <c r="A2539" s="4" t="s">
        <v>8</v>
      </c>
      <c r="B2539" s="4" t="s">
        <v>13</v>
      </c>
      <c r="C2539" s="4" t="s">
        <v>9</v>
      </c>
      <c r="D2539" s="4" t="s">
        <v>10</v>
      </c>
      <c r="E2539" s="4" t="s">
        <v>15</v>
      </c>
      <c r="F2539" s="4" t="s">
        <v>16</v>
      </c>
      <c r="G2539" s="4" t="s">
        <v>9</v>
      </c>
      <c r="H2539" s="4" t="s">
        <v>11</v>
      </c>
    </row>
    <row r="2540" spans="1:8" ht="12.75">
      <c r="A2540" s="4"/>
      <c r="B2540" s="4"/>
      <c r="C2540" s="4" t="s">
        <v>417</v>
      </c>
      <c r="D2540" s="4" t="s">
        <v>418</v>
      </c>
      <c r="E2540" s="4" t="s">
        <v>14</v>
      </c>
      <c r="F2540" s="4" t="s">
        <v>17</v>
      </c>
      <c r="G2540" s="4" t="s">
        <v>420</v>
      </c>
      <c r="H2540" s="4" t="s">
        <v>12</v>
      </c>
    </row>
    <row r="2541" spans="1:8" ht="12.75">
      <c r="A2541" s="4"/>
      <c r="B2541" s="4"/>
      <c r="C2541" s="4"/>
      <c r="D2541" s="4"/>
      <c r="E2541" s="4" t="s">
        <v>419</v>
      </c>
      <c r="F2541" s="4" t="s">
        <v>419</v>
      </c>
      <c r="G2541" s="4"/>
      <c r="H2541" s="4" t="s">
        <v>421</v>
      </c>
    </row>
    <row r="2542" spans="1:8" ht="12.75">
      <c r="A2542" s="4"/>
      <c r="B2542" s="4"/>
      <c r="C2542" s="4"/>
      <c r="D2542" s="4"/>
      <c r="E2542" s="4"/>
      <c r="F2542" s="4"/>
      <c r="G2542" s="4"/>
      <c r="H2542" s="4"/>
    </row>
    <row r="2543" spans="1:8" ht="22.5">
      <c r="A2543" s="4">
        <v>1</v>
      </c>
      <c r="B2543" s="5" t="s">
        <v>18</v>
      </c>
      <c r="C2543" s="6"/>
      <c r="D2543" s="6">
        <v>421593.43</v>
      </c>
      <c r="E2543" s="6">
        <v>412115.09</v>
      </c>
      <c r="F2543" s="6">
        <f>D2543</f>
        <v>421593.43</v>
      </c>
      <c r="G2543" s="6"/>
      <c r="H2543" s="6">
        <f>-33145.37-600-9478.34</f>
        <v>-43223.71000000001</v>
      </c>
    </row>
    <row r="2544" spans="1:8" ht="12.75">
      <c r="A2544" s="4">
        <v>2</v>
      </c>
      <c r="B2544" s="5" t="s">
        <v>21</v>
      </c>
      <c r="C2544" s="8"/>
      <c r="D2544" s="6"/>
      <c r="E2544" s="6"/>
      <c r="F2544" s="6"/>
      <c r="G2544" s="6"/>
      <c r="H2544" s="6"/>
    </row>
    <row r="2545" spans="1:8" ht="12.75">
      <c r="A2545" s="4">
        <v>3</v>
      </c>
      <c r="B2545" s="5" t="s">
        <v>22</v>
      </c>
      <c r="C2545" s="8"/>
      <c r="D2545" s="6">
        <v>183221.12</v>
      </c>
      <c r="E2545" s="6">
        <v>182181.78</v>
      </c>
      <c r="F2545" s="6">
        <f>D2545</f>
        <v>183221.12</v>
      </c>
      <c r="G2545" s="6"/>
      <c r="H2545" s="6">
        <f>-8126.61+120-1039.34</f>
        <v>-9045.949999999999</v>
      </c>
    </row>
    <row r="2546" spans="1:8" ht="22.5">
      <c r="A2546" s="4">
        <v>4</v>
      </c>
      <c r="B2546" s="5" t="s">
        <v>23</v>
      </c>
      <c r="C2546" s="8"/>
      <c r="D2546" s="6"/>
      <c r="E2546" s="6"/>
      <c r="F2546" s="6"/>
      <c r="G2546" s="6"/>
      <c r="H2546" s="6"/>
    </row>
    <row r="2547" spans="1:8" ht="22.5">
      <c r="A2547" s="4">
        <v>5</v>
      </c>
      <c r="B2547" s="5" t="s">
        <v>24</v>
      </c>
      <c r="C2547" s="8">
        <v>133614.57</v>
      </c>
      <c r="D2547" s="6">
        <v>89311.59</v>
      </c>
      <c r="E2547" s="6">
        <f>'[1]текущий 2017'!$B$3452</f>
        <v>159646.07000000004</v>
      </c>
      <c r="F2547" s="6">
        <f>'[1]текущий 2017'!$C$3453</f>
        <v>323359.3</v>
      </c>
      <c r="G2547" s="6">
        <f>E2547-F2547+C2547</f>
        <v>-30098.659999999945</v>
      </c>
      <c r="H2547" s="6">
        <v>-9716.81</v>
      </c>
    </row>
    <row r="2548" spans="1:8" ht="22.5">
      <c r="A2548" s="4">
        <v>6</v>
      </c>
      <c r="B2548" s="5" t="s">
        <v>25</v>
      </c>
      <c r="C2548" s="8">
        <v>70359.2</v>
      </c>
      <c r="D2548" s="6"/>
      <c r="E2548" s="6">
        <v>0</v>
      </c>
      <c r="F2548" s="6">
        <v>70359.2</v>
      </c>
      <c r="G2548" s="6">
        <v>0</v>
      </c>
      <c r="H2548" s="6">
        <v>-4118.1</v>
      </c>
    </row>
    <row r="2549" spans="1:8" ht="22.5">
      <c r="A2549" s="4">
        <v>7</v>
      </c>
      <c r="B2549" s="5" t="s">
        <v>26</v>
      </c>
      <c r="C2549" s="5"/>
      <c r="D2549" s="5">
        <f>D2550+D2551+D2552+D2553</f>
        <v>1652466.67</v>
      </c>
      <c r="E2549" s="8">
        <f>E2550+E2551+E2552+E2553</f>
        <v>1640027.31</v>
      </c>
      <c r="F2549" s="8">
        <f>F2550+F2551+F2552+F2553</f>
        <v>1641485.63</v>
      </c>
      <c r="G2549" s="5">
        <f>G2550+G2551+G2552+G2553</f>
        <v>0</v>
      </c>
      <c r="H2549" s="5">
        <f>H2550+H2551+H2552+H2553</f>
        <v>-358029.25</v>
      </c>
    </row>
    <row r="2550" spans="1:8" ht="12.75">
      <c r="A2550" s="4" t="s">
        <v>27</v>
      </c>
      <c r="B2550" s="5" t="s">
        <v>28</v>
      </c>
      <c r="C2550" s="5"/>
      <c r="D2550" s="4">
        <v>42830.88</v>
      </c>
      <c r="E2550" s="6">
        <v>41372.56</v>
      </c>
      <c r="F2550" s="6">
        <f>D2550</f>
        <v>42830.88</v>
      </c>
      <c r="G2550" s="4"/>
      <c r="H2550" s="4">
        <f>-1458.32</f>
        <v>-1458.32</v>
      </c>
    </row>
    <row r="2551" spans="1:8" ht="33.75">
      <c r="A2551" s="4" t="s">
        <v>29</v>
      </c>
      <c r="B2551" s="5" t="s">
        <v>30</v>
      </c>
      <c r="C2551" s="5"/>
      <c r="D2551" s="4">
        <v>572457.79</v>
      </c>
      <c r="E2551" s="6">
        <v>568078.38</v>
      </c>
      <c r="F2551" s="6">
        <f>E2551</f>
        <v>568078.38</v>
      </c>
      <c r="G2551" s="4">
        <f>E2551-F2551</f>
        <v>0</v>
      </c>
      <c r="H2551" s="4">
        <f>-62128.58-1700-4379.41</f>
        <v>-68207.99</v>
      </c>
    </row>
    <row r="2552" spans="1:8" ht="22.5">
      <c r="A2552" s="4" t="s">
        <v>31</v>
      </c>
      <c r="B2552" s="5" t="s">
        <v>32</v>
      </c>
      <c r="C2552" s="5"/>
      <c r="D2552" s="4"/>
      <c r="E2552" s="6"/>
      <c r="F2552" s="6"/>
      <c r="G2552" s="4"/>
      <c r="H2552" s="4"/>
    </row>
    <row r="2553" spans="1:8" ht="22.5">
      <c r="A2553" s="4" t="s">
        <v>33</v>
      </c>
      <c r="B2553" s="5" t="s">
        <v>34</v>
      </c>
      <c r="C2553" s="5"/>
      <c r="D2553" s="4">
        <v>1037178</v>
      </c>
      <c r="E2553" s="6">
        <v>1030576.37</v>
      </c>
      <c r="F2553" s="6">
        <f>E2553</f>
        <v>1030576.37</v>
      </c>
      <c r="G2553" s="4">
        <f>E2553-F2553</f>
        <v>0</v>
      </c>
      <c r="H2553" s="4">
        <f>-271503.31-10258-6601.63</f>
        <v>-288362.94</v>
      </c>
    </row>
    <row r="2554" spans="1:8" ht="56.25">
      <c r="A2554" s="4"/>
      <c r="B2554" s="23" t="s">
        <v>389</v>
      </c>
      <c r="C2554" s="4">
        <v>10800</v>
      </c>
      <c r="D2554" s="4">
        <v>3600</v>
      </c>
      <c r="E2554" s="4">
        <v>3600</v>
      </c>
      <c r="F2554" s="4"/>
      <c r="G2554" s="4">
        <f>C2554+E2554</f>
        <v>14400</v>
      </c>
      <c r="H2554" s="4"/>
    </row>
    <row r="2555" spans="1:8" ht="12.75">
      <c r="A2555" s="4"/>
      <c r="B2555" s="4"/>
      <c r="C2555" s="4"/>
      <c r="D2555" s="4"/>
      <c r="E2555" s="4"/>
      <c r="F2555" s="4"/>
      <c r="G2555" s="4"/>
      <c r="H2555" s="4"/>
    </row>
    <row r="2558" ht="12.75" hidden="1"/>
    <row r="2559" ht="12.75" hidden="1"/>
    <row r="2560" ht="12.75" hidden="1"/>
    <row r="2561" ht="137.25" customHeight="1"/>
    <row r="2562" ht="12.75">
      <c r="A2562" t="s">
        <v>0</v>
      </c>
    </row>
    <row r="2563" ht="12.75">
      <c r="A2563" t="s">
        <v>291</v>
      </c>
    </row>
    <row r="2564" ht="12.75">
      <c r="A2564" t="s">
        <v>1</v>
      </c>
    </row>
    <row r="2565" ht="12.75">
      <c r="A2565" t="s">
        <v>416</v>
      </c>
    </row>
    <row r="2567" ht="12.75">
      <c r="A2567" t="s">
        <v>2</v>
      </c>
    </row>
    <row r="2569" ht="12.75">
      <c r="A2569" t="s">
        <v>248</v>
      </c>
    </row>
    <row r="2570" ht="12.75">
      <c r="A2570" t="s">
        <v>249</v>
      </c>
    </row>
    <row r="2571" ht="12.75">
      <c r="A2571" t="s">
        <v>4</v>
      </c>
    </row>
    <row r="2572" ht="12.75">
      <c r="A2572" t="s">
        <v>250</v>
      </c>
    </row>
    <row r="2573" ht="12.75">
      <c r="A2573" t="s">
        <v>251</v>
      </c>
    </row>
    <row r="2575" ht="12.75">
      <c r="A2575" t="s">
        <v>6</v>
      </c>
    </row>
    <row r="2576" ht="12.75">
      <c r="A2576" t="s">
        <v>7</v>
      </c>
    </row>
    <row r="2578" spans="1:8" ht="12.75">
      <c r="A2578" s="4" t="s">
        <v>8</v>
      </c>
      <c r="B2578" s="4" t="s">
        <v>13</v>
      </c>
      <c r="C2578" s="4" t="s">
        <v>9</v>
      </c>
      <c r="D2578" s="4" t="s">
        <v>10</v>
      </c>
      <c r="E2578" s="4" t="s">
        <v>15</v>
      </c>
      <c r="F2578" s="4" t="s">
        <v>16</v>
      </c>
      <c r="G2578" s="4" t="s">
        <v>9</v>
      </c>
      <c r="H2578" s="4" t="s">
        <v>11</v>
      </c>
    </row>
    <row r="2579" spans="1:8" ht="12.75">
      <c r="A2579" s="4"/>
      <c r="B2579" s="4"/>
      <c r="C2579" s="4" t="s">
        <v>417</v>
      </c>
      <c r="D2579" s="4" t="s">
        <v>418</v>
      </c>
      <c r="E2579" s="4" t="s">
        <v>14</v>
      </c>
      <c r="F2579" s="4" t="s">
        <v>17</v>
      </c>
      <c r="G2579" s="4" t="s">
        <v>420</v>
      </c>
      <c r="H2579" s="4" t="s">
        <v>12</v>
      </c>
    </row>
    <row r="2580" spans="1:8" ht="12.75">
      <c r="A2580" s="4"/>
      <c r="B2580" s="4"/>
      <c r="C2580" s="4"/>
      <c r="D2580" s="4"/>
      <c r="E2580" s="4" t="s">
        <v>419</v>
      </c>
      <c r="F2580" s="4" t="s">
        <v>419</v>
      </c>
      <c r="G2580" s="4"/>
      <c r="H2580" s="4" t="s">
        <v>421</v>
      </c>
    </row>
    <row r="2581" spans="1:8" ht="12.75">
      <c r="A2581" s="4"/>
      <c r="B2581" s="4"/>
      <c r="C2581" s="4"/>
      <c r="D2581" s="4"/>
      <c r="E2581" s="4"/>
      <c r="F2581" s="4"/>
      <c r="G2581" s="4"/>
      <c r="H2581" s="4"/>
    </row>
    <row r="2582" spans="1:8" ht="22.5">
      <c r="A2582" s="4">
        <v>1</v>
      </c>
      <c r="B2582" s="5" t="s">
        <v>18</v>
      </c>
      <c r="C2582" s="6"/>
      <c r="D2582" s="6">
        <v>425653.33</v>
      </c>
      <c r="E2582" s="6">
        <v>419820.82</v>
      </c>
      <c r="F2582" s="6">
        <f>D2582</f>
        <v>425653.33</v>
      </c>
      <c r="G2582" s="6"/>
      <c r="H2582" s="6">
        <f>-144201+40236-5832.51</f>
        <v>-109797.51</v>
      </c>
    </row>
    <row r="2583" spans="1:8" ht="12.75">
      <c r="A2583" s="4">
        <v>2</v>
      </c>
      <c r="B2583" s="5" t="s">
        <v>21</v>
      </c>
      <c r="C2583" s="8"/>
      <c r="D2583" s="6"/>
      <c r="E2583" s="6"/>
      <c r="F2583" s="6"/>
      <c r="G2583" s="6"/>
      <c r="H2583" s="6"/>
    </row>
    <row r="2584" spans="1:8" ht="12.75">
      <c r="A2584" s="4">
        <v>3</v>
      </c>
      <c r="B2584" s="5" t="s">
        <v>22</v>
      </c>
      <c r="C2584" s="8"/>
      <c r="D2584" s="6">
        <v>180782.94</v>
      </c>
      <c r="E2584" s="6">
        <v>176244.37</v>
      </c>
      <c r="F2584" s="6">
        <f>D2584</f>
        <v>180782.94</v>
      </c>
      <c r="G2584" s="6"/>
      <c r="H2584" s="6">
        <f>-41552.2+15236-4538.57</f>
        <v>-30854.769999999997</v>
      </c>
    </row>
    <row r="2585" spans="1:8" ht="22.5">
      <c r="A2585" s="4">
        <v>4</v>
      </c>
      <c r="B2585" s="5" t="s">
        <v>23</v>
      </c>
      <c r="C2585" s="8"/>
      <c r="D2585" s="6"/>
      <c r="E2585" s="6"/>
      <c r="F2585" s="6"/>
      <c r="G2585" s="6"/>
      <c r="H2585" s="6"/>
    </row>
    <row r="2586" spans="1:8" ht="22.5">
      <c r="A2586" s="4">
        <v>5</v>
      </c>
      <c r="B2586" s="5" t="s">
        <v>24</v>
      </c>
      <c r="C2586" s="8">
        <v>95953.55</v>
      </c>
      <c r="D2586" s="6">
        <v>12856.42</v>
      </c>
      <c r="E2586" s="6">
        <f>'[1]текущий 2017'!$B$3503</f>
        <v>238656.7</v>
      </c>
      <c r="F2586" s="6">
        <f>'[1]текущий 2017'!$C$3504</f>
        <v>229626.1</v>
      </c>
      <c r="G2586" s="6">
        <f>C2586+E2586-F2586</f>
        <v>104984.15</v>
      </c>
      <c r="H2586" s="6">
        <v>-46739.79</v>
      </c>
    </row>
    <row r="2587" spans="1:8" ht="22.5">
      <c r="A2587" s="4">
        <v>6</v>
      </c>
      <c r="B2587" s="5" t="s">
        <v>25</v>
      </c>
      <c r="C2587" s="8">
        <v>94339.18</v>
      </c>
      <c r="D2587" s="6"/>
      <c r="E2587" s="6">
        <v>7176.22</v>
      </c>
      <c r="F2587" s="6">
        <f>94339.18+7176.22</f>
        <v>101515.4</v>
      </c>
      <c r="G2587" s="6">
        <v>0</v>
      </c>
      <c r="H2587" s="6">
        <v>-19286.73</v>
      </c>
    </row>
    <row r="2588" spans="1:8" ht="22.5">
      <c r="A2588" s="4">
        <v>7</v>
      </c>
      <c r="B2588" s="5" t="s">
        <v>26</v>
      </c>
      <c r="C2588" s="5">
        <f aca="true" t="shared" si="60" ref="C2588:H2588">C2589+C2590+C2591+C2592</f>
        <v>0</v>
      </c>
      <c r="D2588" s="5">
        <f t="shared" si="60"/>
        <v>2756039.6</v>
      </c>
      <c r="E2588" s="8">
        <f t="shared" si="60"/>
        <v>2618493.79</v>
      </c>
      <c r="F2588" s="8">
        <f t="shared" si="60"/>
        <v>2622565.5199999996</v>
      </c>
      <c r="G2588" s="5">
        <f t="shared" si="60"/>
        <v>0</v>
      </c>
      <c r="H2588" s="5">
        <f t="shared" si="60"/>
        <v>-1402544.0899999999</v>
      </c>
    </row>
    <row r="2589" spans="1:8" ht="12.75">
      <c r="A2589" s="4" t="s">
        <v>27</v>
      </c>
      <c r="B2589" s="5" t="s">
        <v>28</v>
      </c>
      <c r="C2589" s="5"/>
      <c r="D2589" s="4">
        <v>45577.16</v>
      </c>
      <c r="E2589" s="6">
        <v>41505.43</v>
      </c>
      <c r="F2589" s="6">
        <f>D2589</f>
        <v>45577.16</v>
      </c>
      <c r="G2589" s="4"/>
      <c r="H2589" s="4">
        <f>-4071.73</f>
        <v>-4071.73</v>
      </c>
    </row>
    <row r="2590" spans="1:8" ht="33.75">
      <c r="A2590" s="4" t="s">
        <v>29</v>
      </c>
      <c r="B2590" s="5" t="s">
        <v>30</v>
      </c>
      <c r="C2590" s="5"/>
      <c r="D2590" s="4">
        <v>447563.1</v>
      </c>
      <c r="E2590" s="6">
        <v>424889.25</v>
      </c>
      <c r="F2590" s="6">
        <f>E2590</f>
        <v>424889.25</v>
      </c>
      <c r="G2590" s="4">
        <f>E2590-F2590</f>
        <v>0</v>
      </c>
      <c r="H2590" s="4">
        <f>-225654.62+40563-22673.85</f>
        <v>-207765.47</v>
      </c>
    </row>
    <row r="2591" spans="1:8" ht="22.5">
      <c r="A2591" s="4" t="s">
        <v>31</v>
      </c>
      <c r="B2591" s="5" t="s">
        <v>32</v>
      </c>
      <c r="C2591" s="5"/>
      <c r="D2591" s="4">
        <v>700960.02</v>
      </c>
      <c r="E2591" s="6">
        <v>654185.95</v>
      </c>
      <c r="F2591" s="6">
        <f>E2591</f>
        <v>654185.95</v>
      </c>
      <c r="G2591" s="4"/>
      <c r="H2591" s="4">
        <f>-429645.92+75236-46774.07</f>
        <v>-401183.99</v>
      </c>
    </row>
    <row r="2592" spans="1:8" ht="22.5">
      <c r="A2592" s="4" t="s">
        <v>33</v>
      </c>
      <c r="B2592" s="5" t="s">
        <v>34</v>
      </c>
      <c r="C2592" s="5"/>
      <c r="D2592" s="4">
        <v>1561939.32</v>
      </c>
      <c r="E2592" s="6">
        <v>1497913.16</v>
      </c>
      <c r="F2592" s="6">
        <f>E2592</f>
        <v>1497913.16</v>
      </c>
      <c r="G2592" s="4">
        <f>E2592-F2592</f>
        <v>0</v>
      </c>
      <c r="H2592" s="4">
        <f>-683127.74-42369-64026.16</f>
        <v>-789522.9</v>
      </c>
    </row>
    <row r="2593" spans="1:8" ht="56.25">
      <c r="A2593" s="4"/>
      <c r="B2593" s="23" t="s">
        <v>389</v>
      </c>
      <c r="C2593" s="4">
        <v>5400</v>
      </c>
      <c r="D2593" s="4">
        <v>1800</v>
      </c>
      <c r="E2593" s="4">
        <v>1800</v>
      </c>
      <c r="F2593" s="4"/>
      <c r="G2593" s="4">
        <f>C2593+E2593</f>
        <v>7200</v>
      </c>
      <c r="H2593" s="4"/>
    </row>
    <row r="2594" spans="1:8" ht="12.75">
      <c r="A2594" s="4"/>
      <c r="B2594" s="4"/>
      <c r="C2594" s="4"/>
      <c r="D2594" s="4"/>
      <c r="E2594" s="4"/>
      <c r="F2594" s="4"/>
      <c r="G2594" s="4"/>
      <c r="H2594" s="4"/>
    </row>
    <row r="2599" ht="6.75" customHeight="1"/>
    <row r="2600" ht="101.25" customHeight="1"/>
    <row r="2601" ht="12.75">
      <c r="A2601" t="s">
        <v>0</v>
      </c>
    </row>
    <row r="2602" ht="12.75">
      <c r="A2602" t="s">
        <v>291</v>
      </c>
    </row>
    <row r="2603" ht="12.75">
      <c r="A2603" t="s">
        <v>1</v>
      </c>
    </row>
    <row r="2604" ht="12.75">
      <c r="A2604" t="s">
        <v>416</v>
      </c>
    </row>
    <row r="2606" ht="12.75">
      <c r="A2606" t="s">
        <v>2</v>
      </c>
    </row>
    <row r="2608" ht="12.75">
      <c r="A2608" t="s">
        <v>252</v>
      </c>
    </row>
    <row r="2609" ht="12.75">
      <c r="A2609" t="s">
        <v>253</v>
      </c>
    </row>
    <row r="2610" ht="12.75">
      <c r="A2610" t="s">
        <v>4</v>
      </c>
    </row>
    <row r="2611" ht="12.75">
      <c r="A2611" t="s">
        <v>254</v>
      </c>
    </row>
    <row r="2612" ht="12.75">
      <c r="A2612" t="s">
        <v>215</v>
      </c>
    </row>
    <row r="2614" ht="12.75">
      <c r="A2614" t="s">
        <v>6</v>
      </c>
    </row>
    <row r="2615" ht="12.75">
      <c r="A2615" t="s">
        <v>7</v>
      </c>
    </row>
    <row r="2617" spans="1:8" ht="12.75">
      <c r="A2617" s="4" t="s">
        <v>8</v>
      </c>
      <c r="B2617" s="4" t="s">
        <v>13</v>
      </c>
      <c r="C2617" s="4" t="s">
        <v>9</v>
      </c>
      <c r="D2617" s="4" t="s">
        <v>10</v>
      </c>
      <c r="E2617" s="4" t="s">
        <v>15</v>
      </c>
      <c r="F2617" s="4" t="s">
        <v>16</v>
      </c>
      <c r="G2617" s="4" t="s">
        <v>9</v>
      </c>
      <c r="H2617" s="4" t="s">
        <v>11</v>
      </c>
    </row>
    <row r="2618" spans="1:8" ht="12.75">
      <c r="A2618" s="4"/>
      <c r="B2618" s="4"/>
      <c r="C2618" s="4" t="s">
        <v>417</v>
      </c>
      <c r="D2618" s="4" t="s">
        <v>418</v>
      </c>
      <c r="E2618" s="4" t="s">
        <v>14</v>
      </c>
      <c r="F2618" s="4" t="s">
        <v>17</v>
      </c>
      <c r="G2618" s="4" t="s">
        <v>420</v>
      </c>
      <c r="H2618" s="4" t="s">
        <v>12</v>
      </c>
    </row>
    <row r="2619" spans="1:8" ht="12.75">
      <c r="A2619" s="4"/>
      <c r="B2619" s="4"/>
      <c r="C2619" s="4"/>
      <c r="D2619" s="4"/>
      <c r="E2619" s="4" t="s">
        <v>419</v>
      </c>
      <c r="F2619" s="4" t="s">
        <v>419</v>
      </c>
      <c r="G2619" s="4"/>
      <c r="H2619" s="4" t="s">
        <v>421</v>
      </c>
    </row>
    <row r="2620" spans="1:8" ht="12.75">
      <c r="A2620" s="4"/>
      <c r="B2620" s="4"/>
      <c r="C2620" s="4"/>
      <c r="D2620" s="4"/>
      <c r="E2620" s="4"/>
      <c r="F2620" s="4"/>
      <c r="G2620" s="4"/>
      <c r="H2620" s="4"/>
    </row>
    <row r="2621" spans="1:8" ht="22.5">
      <c r="A2621" s="4">
        <v>1</v>
      </c>
      <c r="B2621" s="5" t="s">
        <v>18</v>
      </c>
      <c r="C2621" s="6"/>
      <c r="D2621" s="6">
        <v>341839.77</v>
      </c>
      <c r="E2621" s="6">
        <v>322158.17</v>
      </c>
      <c r="F2621" s="6">
        <f>D2621</f>
        <v>341839.77</v>
      </c>
      <c r="G2621" s="6"/>
      <c r="H2621" s="6">
        <f>-37485.4+10256-19681.6</f>
        <v>-46911</v>
      </c>
    </row>
    <row r="2622" spans="1:8" ht="12.75">
      <c r="A2622" s="4">
        <v>2</v>
      </c>
      <c r="B2622" s="5" t="s">
        <v>21</v>
      </c>
      <c r="C2622" s="8"/>
      <c r="D2622" s="6"/>
      <c r="E2622" s="6"/>
      <c r="F2622" s="6"/>
      <c r="G2622" s="6"/>
      <c r="H2622" s="6"/>
    </row>
    <row r="2623" spans="1:8" ht="12.75">
      <c r="A2623" s="4">
        <v>3</v>
      </c>
      <c r="B2623" s="5" t="s">
        <v>22</v>
      </c>
      <c r="C2623" s="8"/>
      <c r="D2623" s="6">
        <v>139777.5</v>
      </c>
      <c r="E2623" s="6">
        <v>135805.46</v>
      </c>
      <c r="F2623" s="6">
        <f>D2623</f>
        <v>139777.5</v>
      </c>
      <c r="G2623" s="6"/>
      <c r="H2623" s="6">
        <f>-3360.79+1569-3972.04</f>
        <v>-5763.83</v>
      </c>
    </row>
    <row r="2624" spans="1:8" ht="22.5">
      <c r="A2624" s="4">
        <v>4</v>
      </c>
      <c r="B2624" s="5" t="s">
        <v>23</v>
      </c>
      <c r="C2624" s="8"/>
      <c r="D2624" s="6"/>
      <c r="E2624" s="6"/>
      <c r="F2624" s="6"/>
      <c r="G2624" s="6"/>
      <c r="H2624" s="6"/>
    </row>
    <row r="2625" spans="1:8" ht="22.5">
      <c r="A2625" s="4">
        <v>5</v>
      </c>
      <c r="B2625" s="5" t="s">
        <v>24</v>
      </c>
      <c r="C2625" s="8">
        <v>151814.48</v>
      </c>
      <c r="D2625" s="6">
        <v>75153.6</v>
      </c>
      <c r="E2625" s="6">
        <f>'[1]текущий 2017'!$B$3554</f>
        <v>73444.61</v>
      </c>
      <c r="F2625" s="6">
        <f>'[1]текущий 2017'!$C$3555</f>
        <v>71800.04</v>
      </c>
      <c r="G2625" s="6">
        <f>E2625-F2625+C2625</f>
        <v>153459.05000000002</v>
      </c>
      <c r="H2625" s="6">
        <v>-31315.44</v>
      </c>
    </row>
    <row r="2626" spans="1:8" ht="22.5">
      <c r="A2626" s="4">
        <v>6</v>
      </c>
      <c r="B2626" s="5" t="s">
        <v>25</v>
      </c>
      <c r="C2626" s="8">
        <v>-21807.47</v>
      </c>
      <c r="D2626" s="6"/>
      <c r="E2626" s="6"/>
      <c r="F2626" s="6">
        <f>Лист3!D2703</f>
        <v>0</v>
      </c>
      <c r="G2626" s="6">
        <v>-21807.47</v>
      </c>
      <c r="H2626" s="6">
        <v>-5102.18</v>
      </c>
    </row>
    <row r="2627" spans="1:8" ht="22.5">
      <c r="A2627" s="4">
        <v>6.1</v>
      </c>
      <c r="B2627" s="5" t="s">
        <v>391</v>
      </c>
      <c r="C2627" s="8">
        <v>135319</v>
      </c>
      <c r="D2627" s="6"/>
      <c r="E2627" s="6"/>
      <c r="F2627" s="6"/>
      <c r="G2627" s="6"/>
      <c r="H2627" s="6">
        <v>-5102.18</v>
      </c>
    </row>
    <row r="2628" spans="1:8" ht="22.5">
      <c r="A2628" s="4">
        <v>7</v>
      </c>
      <c r="B2628" s="5" t="s">
        <v>26</v>
      </c>
      <c r="C2628" s="5">
        <f aca="true" t="shared" si="61" ref="C2628:H2628">C2629+C2630+C2631+C2632</f>
        <v>0</v>
      </c>
      <c r="D2628" s="5">
        <f t="shared" si="61"/>
        <v>1940661.91</v>
      </c>
      <c r="E2628" s="8">
        <f t="shared" si="61"/>
        <v>1877140.58</v>
      </c>
      <c r="F2628" s="8">
        <f t="shared" si="61"/>
        <v>1879044.73</v>
      </c>
      <c r="G2628" s="5">
        <f t="shared" si="61"/>
        <v>0</v>
      </c>
      <c r="H2628" s="5">
        <f t="shared" si="61"/>
        <v>-388979.77</v>
      </c>
    </row>
    <row r="2629" spans="1:8" ht="12.75">
      <c r="A2629" s="4" t="s">
        <v>27</v>
      </c>
      <c r="B2629" s="5" t="s">
        <v>28</v>
      </c>
      <c r="C2629" s="5"/>
      <c r="D2629" s="4">
        <v>43704.02</v>
      </c>
      <c r="E2629" s="6">
        <v>41799.87</v>
      </c>
      <c r="F2629" s="6">
        <f>D2629</f>
        <v>43704.02</v>
      </c>
      <c r="G2629" s="4"/>
      <c r="H2629" s="4">
        <f>-1904.15</f>
        <v>-1904.15</v>
      </c>
    </row>
    <row r="2630" spans="1:8" ht="33.75">
      <c r="A2630" s="4" t="s">
        <v>29</v>
      </c>
      <c r="B2630" s="5" t="s">
        <v>30</v>
      </c>
      <c r="C2630" s="5"/>
      <c r="D2630" s="4">
        <v>375569.35</v>
      </c>
      <c r="E2630" s="6">
        <v>363404.42</v>
      </c>
      <c r="F2630" s="6">
        <f>E2630</f>
        <v>363404.42</v>
      </c>
      <c r="G2630" s="4">
        <f>E2630-F2630</f>
        <v>0</v>
      </c>
      <c r="H2630" s="4">
        <f>-50270.26+3000-12164.93</f>
        <v>-59435.19</v>
      </c>
    </row>
    <row r="2631" spans="1:8" ht="22.5">
      <c r="A2631" s="4" t="s">
        <v>31</v>
      </c>
      <c r="B2631" s="5" t="s">
        <v>32</v>
      </c>
      <c r="C2631" s="5"/>
      <c r="D2631" s="4">
        <v>657720.59</v>
      </c>
      <c r="E2631" s="6">
        <v>626252.93</v>
      </c>
      <c r="F2631" s="6">
        <f>E2631</f>
        <v>626252.93</v>
      </c>
      <c r="G2631" s="4"/>
      <c r="H2631" s="4">
        <f>-70864.98-6589-31467.66</f>
        <v>-108921.64</v>
      </c>
    </row>
    <row r="2632" spans="1:8" ht="22.5">
      <c r="A2632" s="4" t="s">
        <v>33</v>
      </c>
      <c r="B2632" s="5" t="s">
        <v>34</v>
      </c>
      <c r="C2632" s="5"/>
      <c r="D2632" s="4">
        <v>863667.95</v>
      </c>
      <c r="E2632" s="6">
        <v>845683.36</v>
      </c>
      <c r="F2632" s="6">
        <f>E2632</f>
        <v>845683.36</v>
      </c>
      <c r="G2632" s="4">
        <f>E2632-F2632</f>
        <v>0</v>
      </c>
      <c r="H2632" s="4">
        <f>-202303.2+1569-17984.59</f>
        <v>-218718.79</v>
      </c>
    </row>
    <row r="2633" spans="1:8" ht="56.25">
      <c r="A2633" s="4"/>
      <c r="B2633" s="23" t="s">
        <v>389</v>
      </c>
      <c r="C2633" s="4">
        <v>21600</v>
      </c>
      <c r="D2633" s="4">
        <v>7200</v>
      </c>
      <c r="E2633" s="4">
        <v>7200</v>
      </c>
      <c r="F2633" s="4"/>
      <c r="G2633" s="4">
        <f>C2633+E2633</f>
        <v>28800</v>
      </c>
      <c r="H2633" s="4"/>
    </row>
    <row r="2634" spans="1:8" ht="12.75">
      <c r="A2634" s="4"/>
      <c r="B2634" s="4"/>
      <c r="C2634" s="4"/>
      <c r="D2634" s="4"/>
      <c r="E2634" s="4"/>
      <c r="F2634" s="4"/>
      <c r="G2634" s="4"/>
      <c r="H2634" s="4"/>
    </row>
    <row r="2637" ht="108" customHeight="1"/>
    <row r="2638" ht="12.75" hidden="1"/>
    <row r="2639" ht="12.75" hidden="1"/>
    <row r="2640" ht="12.75" hidden="1"/>
    <row r="2641" ht="12.75">
      <c r="A2641" t="s">
        <v>0</v>
      </c>
    </row>
    <row r="2642" ht="12.75">
      <c r="A2642" t="s">
        <v>291</v>
      </c>
    </row>
    <row r="2643" ht="12.75">
      <c r="A2643" t="s">
        <v>1</v>
      </c>
    </row>
    <row r="2644" ht="12.75">
      <c r="A2644" t="s">
        <v>416</v>
      </c>
    </row>
    <row r="2646" ht="12.75">
      <c r="A2646" t="s">
        <v>2</v>
      </c>
    </row>
    <row r="2648" ht="12.75">
      <c r="A2648" t="s">
        <v>255</v>
      </c>
    </row>
    <row r="2649" ht="12.75">
      <c r="A2649" t="s">
        <v>256</v>
      </c>
    </row>
    <row r="2650" ht="12.75">
      <c r="A2650" t="s">
        <v>4</v>
      </c>
    </row>
    <row r="2651" ht="12.75">
      <c r="A2651" t="s">
        <v>257</v>
      </c>
    </row>
    <row r="2652" ht="12.75">
      <c r="A2652" t="s">
        <v>184</v>
      </c>
    </row>
    <row r="2654" ht="12.75">
      <c r="A2654" t="s">
        <v>6</v>
      </c>
    </row>
    <row r="2655" ht="12.75">
      <c r="A2655" t="s">
        <v>7</v>
      </c>
    </row>
    <row r="2657" spans="1:8" ht="12.75">
      <c r="A2657" s="4" t="s">
        <v>8</v>
      </c>
      <c r="B2657" s="4" t="s">
        <v>13</v>
      </c>
      <c r="C2657" s="4" t="s">
        <v>9</v>
      </c>
      <c r="D2657" s="4" t="s">
        <v>10</v>
      </c>
      <c r="E2657" s="4" t="s">
        <v>15</v>
      </c>
      <c r="F2657" s="4" t="s">
        <v>16</v>
      </c>
      <c r="G2657" s="4" t="s">
        <v>9</v>
      </c>
      <c r="H2657" s="4" t="s">
        <v>11</v>
      </c>
    </row>
    <row r="2658" spans="1:8" ht="12.75">
      <c r="A2658" s="4"/>
      <c r="B2658" s="4"/>
      <c r="C2658" s="4" t="s">
        <v>417</v>
      </c>
      <c r="D2658" s="4" t="s">
        <v>418</v>
      </c>
      <c r="E2658" s="4" t="s">
        <v>14</v>
      </c>
      <c r="F2658" s="4" t="s">
        <v>17</v>
      </c>
      <c r="G2658" s="4" t="s">
        <v>420</v>
      </c>
      <c r="H2658" s="4" t="s">
        <v>12</v>
      </c>
    </row>
    <row r="2659" spans="1:8" ht="12.75">
      <c r="A2659" s="4"/>
      <c r="B2659" s="4"/>
      <c r="C2659" s="4"/>
      <c r="D2659" s="4"/>
      <c r="E2659" s="4" t="s">
        <v>419</v>
      </c>
      <c r="F2659" s="4" t="s">
        <v>419</v>
      </c>
      <c r="G2659" s="4"/>
      <c r="H2659" s="4" t="s">
        <v>421</v>
      </c>
    </row>
    <row r="2660" spans="1:8" ht="12.75">
      <c r="A2660" s="4"/>
      <c r="B2660" s="4"/>
      <c r="C2660" s="4"/>
      <c r="D2660" s="4"/>
      <c r="E2660" s="4"/>
      <c r="F2660" s="4"/>
      <c r="G2660" s="4"/>
      <c r="H2660" s="4"/>
    </row>
    <row r="2661" spans="1:8" ht="22.5">
      <c r="A2661" s="4">
        <v>1</v>
      </c>
      <c r="B2661" s="5" t="s">
        <v>18</v>
      </c>
      <c r="C2661" s="6"/>
      <c r="D2661" s="6">
        <v>310666.44</v>
      </c>
      <c r="E2661" s="6">
        <v>305977.58</v>
      </c>
      <c r="F2661" s="6">
        <f>D2661</f>
        <v>310666.44</v>
      </c>
      <c r="G2661" s="6"/>
      <c r="H2661" s="6">
        <f>-53849.49+14658-4688.86</f>
        <v>-43880.35</v>
      </c>
    </row>
    <row r="2662" spans="1:8" ht="12.75">
      <c r="A2662" s="4">
        <v>2</v>
      </c>
      <c r="B2662" s="5" t="s">
        <v>21</v>
      </c>
      <c r="C2662" s="8"/>
      <c r="D2662" s="6"/>
      <c r="E2662" s="6"/>
      <c r="F2662" s="6"/>
      <c r="G2662" s="6"/>
      <c r="H2662" s="6"/>
    </row>
    <row r="2663" spans="1:8" ht="12.75">
      <c r="A2663" s="4">
        <v>3</v>
      </c>
      <c r="B2663" s="5" t="s">
        <v>22</v>
      </c>
      <c r="C2663" s="8"/>
      <c r="D2663" s="6">
        <v>133383.93</v>
      </c>
      <c r="E2663" s="6">
        <v>129778.62</v>
      </c>
      <c r="F2663" s="6">
        <f>D2663</f>
        <v>133383.93</v>
      </c>
      <c r="G2663" s="6"/>
      <c r="H2663" s="6">
        <f>-17970.82+5421-3605.31</f>
        <v>-16155.13</v>
      </c>
    </row>
    <row r="2664" spans="1:8" ht="22.5">
      <c r="A2664" s="4">
        <v>4</v>
      </c>
      <c r="B2664" s="5" t="s">
        <v>23</v>
      </c>
      <c r="C2664" s="8"/>
      <c r="D2664" s="6"/>
      <c r="E2664" s="6"/>
      <c r="F2664" s="6"/>
      <c r="G2664" s="6"/>
      <c r="H2664" s="6"/>
    </row>
    <row r="2665" spans="1:8" ht="22.5">
      <c r="A2665" s="4">
        <v>5</v>
      </c>
      <c r="B2665" s="5" t="s">
        <v>24</v>
      </c>
      <c r="C2665" s="8">
        <v>39771.23</v>
      </c>
      <c r="D2665" s="6">
        <v>65019.36</v>
      </c>
      <c r="E2665" s="6">
        <f>'[1]текущий 2017'!$B$3605</f>
        <v>73798.93999999999</v>
      </c>
      <c r="F2665" s="6">
        <f>'[1]текущий 2017'!$C$3606</f>
        <v>100277.84999999999</v>
      </c>
      <c r="G2665" s="6">
        <f>E2665-F2665+C2665</f>
        <v>13292.32</v>
      </c>
      <c r="H2665" s="6">
        <v>-17369.88</v>
      </c>
    </row>
    <row r="2666" spans="1:8" ht="22.5">
      <c r="A2666" s="4">
        <v>6</v>
      </c>
      <c r="B2666" s="5" t="s">
        <v>25</v>
      </c>
      <c r="C2666" s="8">
        <v>24546.47</v>
      </c>
      <c r="D2666" s="6"/>
      <c r="E2666" s="6"/>
      <c r="F2666" s="6"/>
      <c r="G2666" s="6">
        <v>24546.47</v>
      </c>
      <c r="H2666" s="6"/>
    </row>
    <row r="2667" spans="1:8" ht="22.5">
      <c r="A2667" s="4">
        <v>6.1</v>
      </c>
      <c r="B2667" s="5" t="s">
        <v>391</v>
      </c>
      <c r="C2667" s="8">
        <v>130242</v>
      </c>
      <c r="D2667" s="6"/>
      <c r="E2667" s="6"/>
      <c r="F2667" s="6"/>
      <c r="G2667" s="6"/>
      <c r="H2667" s="6"/>
    </row>
    <row r="2668" spans="1:8" ht="22.5">
      <c r="A2668" s="4">
        <v>7</v>
      </c>
      <c r="B2668" s="5" t="s">
        <v>26</v>
      </c>
      <c r="C2668" s="5"/>
      <c r="D2668" s="5">
        <f>D2669+D2670+D2671+D2672</f>
        <v>1377112.65</v>
      </c>
      <c r="E2668" s="8">
        <f>E2669+E2670+E2671+E2672</f>
        <v>1365260.9100000001</v>
      </c>
      <c r="F2668" s="8">
        <f>F2669+F2670+F2671+F2672</f>
        <v>1365680.22</v>
      </c>
      <c r="G2668" s="5">
        <f>G2669+G2670+G2671+G2672</f>
        <v>0</v>
      </c>
      <c r="H2668" s="5">
        <f>H2669+H2670+H2671+H2672</f>
        <v>-430580.39999999997</v>
      </c>
    </row>
    <row r="2669" spans="1:8" ht="12.75">
      <c r="A2669" s="4" t="s">
        <v>27</v>
      </c>
      <c r="B2669" s="5" t="s">
        <v>28</v>
      </c>
      <c r="C2669" s="5"/>
      <c r="D2669" s="4">
        <v>25819.53</v>
      </c>
      <c r="E2669" s="6">
        <v>25400.22</v>
      </c>
      <c r="F2669" s="6">
        <f>D2669</f>
        <v>25819.53</v>
      </c>
      <c r="G2669" s="4"/>
      <c r="H2669" s="4">
        <f>-419.31</f>
        <v>-419.31</v>
      </c>
    </row>
    <row r="2670" spans="1:8" ht="33.75">
      <c r="A2670" s="4" t="s">
        <v>29</v>
      </c>
      <c r="B2670" s="5" t="s">
        <v>30</v>
      </c>
      <c r="C2670" s="5"/>
      <c r="D2670" s="4">
        <v>491549.97</v>
      </c>
      <c r="E2670" s="6">
        <v>488084.45</v>
      </c>
      <c r="F2670" s="6">
        <f>E2670</f>
        <v>488084.45</v>
      </c>
      <c r="G2670" s="4">
        <f>E2670-F2670</f>
        <v>0</v>
      </c>
      <c r="H2670" s="4">
        <f>-132629.42+25687-3465.52</f>
        <v>-110407.94000000002</v>
      </c>
    </row>
    <row r="2671" spans="1:8" ht="22.5">
      <c r="A2671" s="4" t="s">
        <v>31</v>
      </c>
      <c r="B2671" s="5" t="s">
        <v>32</v>
      </c>
      <c r="C2671" s="5"/>
      <c r="D2671" s="4"/>
      <c r="E2671" s="6"/>
      <c r="F2671" s="6"/>
      <c r="G2671" s="4"/>
      <c r="H2671" s="4"/>
    </row>
    <row r="2672" spans="1:8" ht="22.5">
      <c r="A2672" s="4" t="s">
        <v>33</v>
      </c>
      <c r="B2672" s="5" t="s">
        <v>34</v>
      </c>
      <c r="C2672" s="5"/>
      <c r="D2672" s="4">
        <v>859743.15</v>
      </c>
      <c r="E2672" s="6">
        <v>851776.24</v>
      </c>
      <c r="F2672" s="6">
        <f>E2672</f>
        <v>851776.24</v>
      </c>
      <c r="G2672" s="4">
        <f>E2672-F2672</f>
        <v>0</v>
      </c>
      <c r="H2672" s="4">
        <f>-293223.24-18563-7966.91</f>
        <v>-319753.14999999997</v>
      </c>
    </row>
    <row r="2673" spans="1:8" ht="56.25">
      <c r="A2673" s="4"/>
      <c r="B2673" s="23" t="s">
        <v>389</v>
      </c>
      <c r="C2673" s="4">
        <v>21600</v>
      </c>
      <c r="D2673" s="4">
        <v>7200</v>
      </c>
      <c r="E2673" s="4">
        <v>7200</v>
      </c>
      <c r="F2673" s="4"/>
      <c r="G2673" s="4">
        <f>C2673+E2673</f>
        <v>28800</v>
      </c>
      <c r="H2673" s="4"/>
    </row>
    <row r="2674" spans="1:8" ht="12.75">
      <c r="A2674" s="4"/>
      <c r="B2674" s="4"/>
      <c r="C2674" s="4"/>
      <c r="D2674" s="4"/>
      <c r="E2674" s="4"/>
      <c r="F2674" s="4"/>
      <c r="G2674" s="4"/>
      <c r="H2674" s="4"/>
    </row>
    <row r="2677" ht="3.75" customHeight="1"/>
    <row r="2678" ht="12.75" hidden="1"/>
    <row r="2679" ht="12.75" hidden="1"/>
    <row r="2680" ht="78" customHeight="1" hidden="1"/>
    <row r="2681" ht="113.25" customHeight="1"/>
    <row r="2682" ht="12.75" hidden="1"/>
    <row r="2683" ht="12.75" hidden="1"/>
    <row r="2684" ht="12.75">
      <c r="A2684" t="s">
        <v>0</v>
      </c>
    </row>
    <row r="2685" ht="12.75">
      <c r="A2685" t="s">
        <v>291</v>
      </c>
    </row>
    <row r="2686" ht="12.75">
      <c r="A2686" t="s">
        <v>1</v>
      </c>
    </row>
    <row r="2687" ht="12.75">
      <c r="A2687" t="s">
        <v>416</v>
      </c>
    </row>
    <row r="2689" ht="12.75">
      <c r="A2689" t="s">
        <v>2</v>
      </c>
    </row>
    <row r="2691" ht="12.75">
      <c r="A2691" t="s">
        <v>372</v>
      </c>
    </row>
    <row r="2692" ht="12.75">
      <c r="A2692" t="s">
        <v>373</v>
      </c>
    </row>
    <row r="2693" ht="12.75">
      <c r="A2693" t="s">
        <v>4</v>
      </c>
    </row>
    <row r="2694" ht="12.75">
      <c r="A2694" t="s">
        <v>374</v>
      </c>
    </row>
    <row r="2695" ht="12.75">
      <c r="A2695" t="s">
        <v>5</v>
      </c>
    </row>
    <row r="2697" ht="12.75">
      <c r="A2697" t="s">
        <v>6</v>
      </c>
    </row>
    <row r="2698" ht="12.75">
      <c r="A2698" t="s">
        <v>7</v>
      </c>
    </row>
    <row r="2700" spans="1:8" ht="12.75">
      <c r="A2700" s="4" t="s">
        <v>8</v>
      </c>
      <c r="B2700" s="4" t="s">
        <v>13</v>
      </c>
      <c r="C2700" s="4" t="s">
        <v>9</v>
      </c>
      <c r="D2700" s="4" t="s">
        <v>10</v>
      </c>
      <c r="E2700" s="4" t="s">
        <v>15</v>
      </c>
      <c r="F2700" s="4" t="s">
        <v>16</v>
      </c>
      <c r="G2700" s="4" t="s">
        <v>9</v>
      </c>
      <c r="H2700" s="4" t="s">
        <v>11</v>
      </c>
    </row>
    <row r="2701" spans="1:8" ht="12.75">
      <c r="A2701" s="4"/>
      <c r="B2701" s="4"/>
      <c r="C2701" s="4" t="s">
        <v>417</v>
      </c>
      <c r="D2701" s="4" t="s">
        <v>418</v>
      </c>
      <c r="E2701" s="4" t="s">
        <v>14</v>
      </c>
      <c r="F2701" s="4" t="s">
        <v>17</v>
      </c>
      <c r="G2701" s="4" t="s">
        <v>420</v>
      </c>
      <c r="H2701" s="4" t="s">
        <v>12</v>
      </c>
    </row>
    <row r="2702" spans="1:8" ht="12.75">
      <c r="A2702" s="4"/>
      <c r="B2702" s="4"/>
      <c r="C2702" s="4"/>
      <c r="D2702" s="4"/>
      <c r="E2702" s="4" t="s">
        <v>419</v>
      </c>
      <c r="F2702" s="4" t="s">
        <v>419</v>
      </c>
      <c r="G2702" s="4"/>
      <c r="H2702" s="4" t="s">
        <v>421</v>
      </c>
    </row>
    <row r="2703" spans="1:8" ht="12.75">
      <c r="A2703" s="4"/>
      <c r="B2703" s="4"/>
      <c r="C2703" s="4"/>
      <c r="D2703" s="4"/>
      <c r="E2703" s="4"/>
      <c r="F2703" s="4"/>
      <c r="G2703" s="4"/>
      <c r="H2703" s="4"/>
    </row>
    <row r="2704" spans="1:8" ht="22.5">
      <c r="A2704" s="4">
        <v>1</v>
      </c>
      <c r="B2704" s="5" t="s">
        <v>18</v>
      </c>
      <c r="C2704" s="6"/>
      <c r="D2704" s="6">
        <v>7466.26</v>
      </c>
      <c r="E2704" s="6">
        <v>7466.26</v>
      </c>
      <c r="F2704" s="6">
        <f>D2704</f>
        <v>7466.26</v>
      </c>
      <c r="G2704" s="6"/>
      <c r="H2704" s="6">
        <v>-597.04</v>
      </c>
    </row>
    <row r="2705" spans="1:8" ht="22.5">
      <c r="A2705" s="4">
        <v>2</v>
      </c>
      <c r="B2705" s="5" t="s">
        <v>367</v>
      </c>
      <c r="C2705" s="8"/>
      <c r="D2705" s="6"/>
      <c r="E2705" s="6"/>
      <c r="F2705" s="6"/>
      <c r="G2705" s="6"/>
      <c r="H2705" s="6"/>
    </row>
    <row r="2706" spans="1:8" ht="12.75">
      <c r="A2706" s="4">
        <v>3</v>
      </c>
      <c r="B2706" s="5" t="s">
        <v>21</v>
      </c>
      <c r="C2706" s="8"/>
      <c r="D2706" s="6"/>
      <c r="E2706" s="6"/>
      <c r="F2706" s="6"/>
      <c r="G2706" s="6"/>
      <c r="H2706" s="6"/>
    </row>
    <row r="2707" spans="1:8" ht="12.75">
      <c r="A2707" s="4">
        <v>4</v>
      </c>
      <c r="B2707" s="5" t="s">
        <v>22</v>
      </c>
      <c r="C2707" s="8"/>
      <c r="D2707" s="6">
        <v>5565.03</v>
      </c>
      <c r="E2707" s="6">
        <v>5565.03</v>
      </c>
      <c r="F2707" s="6">
        <f>D2707</f>
        <v>5565.03</v>
      </c>
      <c r="G2707" s="6"/>
      <c r="H2707" s="6">
        <v>-449.35</v>
      </c>
    </row>
    <row r="2708" spans="1:8" ht="22.5">
      <c r="A2708" s="4">
        <v>5</v>
      </c>
      <c r="B2708" s="5" t="s">
        <v>23</v>
      </c>
      <c r="C2708" s="8"/>
      <c r="D2708" s="6"/>
      <c r="E2708" s="6"/>
      <c r="F2708" s="6"/>
      <c r="G2708" s="6"/>
      <c r="H2708" s="6"/>
    </row>
    <row r="2709" spans="1:8" ht="22.5">
      <c r="A2709" s="4">
        <v>6</v>
      </c>
      <c r="B2709" s="5" t="s">
        <v>24</v>
      </c>
      <c r="C2709" s="8">
        <v>5161.93</v>
      </c>
      <c r="D2709" s="6">
        <v>1552.04</v>
      </c>
      <c r="E2709" s="6">
        <v>1552.04</v>
      </c>
      <c r="F2709" s="6"/>
      <c r="G2709" s="6">
        <f>C2709+E2709-F2709</f>
        <v>6713.97</v>
      </c>
      <c r="H2709" s="6">
        <v>-142.56</v>
      </c>
    </row>
    <row r="2710" spans="1:8" ht="22.5">
      <c r="A2710" s="4">
        <v>7</v>
      </c>
      <c r="B2710" s="5" t="s">
        <v>25</v>
      </c>
      <c r="C2710" s="8"/>
      <c r="D2710" s="6"/>
      <c r="E2710" s="6"/>
      <c r="F2710" s="6"/>
      <c r="G2710" s="6"/>
      <c r="H2710" s="6"/>
    </row>
    <row r="2711" spans="1:8" ht="22.5">
      <c r="A2711" s="4">
        <v>8</v>
      </c>
      <c r="B2711" s="5" t="s">
        <v>26</v>
      </c>
      <c r="C2711" s="5"/>
      <c r="D2711" s="5">
        <f>D2712+D2713+D2714+D2715</f>
        <v>19766.7</v>
      </c>
      <c r="E2711" s="8">
        <f>E2712+E2713+E2714+E2715</f>
        <v>19766.7</v>
      </c>
      <c r="F2711" s="8">
        <f>F2712+F2713+F2714+F2715</f>
        <v>19766.7</v>
      </c>
      <c r="G2711" s="5">
        <f>G2712+G2713+G2714+G2715</f>
        <v>0</v>
      </c>
      <c r="H2711" s="5">
        <f>H2712+H2713+H2714+H2715</f>
        <v>-3007</v>
      </c>
    </row>
    <row r="2712" spans="1:8" ht="12.75">
      <c r="A2712" s="4" t="s">
        <v>368</v>
      </c>
      <c r="B2712" s="5" t="s">
        <v>28</v>
      </c>
      <c r="C2712" s="5"/>
      <c r="D2712" s="4"/>
      <c r="E2712" s="6"/>
      <c r="F2712" s="6"/>
      <c r="G2712" s="4"/>
      <c r="H2712" s="4"/>
    </row>
    <row r="2713" spans="1:8" ht="33.75">
      <c r="A2713" s="4" t="s">
        <v>369</v>
      </c>
      <c r="B2713" s="5" t="s">
        <v>30</v>
      </c>
      <c r="C2713" s="5"/>
      <c r="D2713" s="4">
        <v>19766.7</v>
      </c>
      <c r="E2713" s="6">
        <v>19766.7</v>
      </c>
      <c r="F2713" s="6">
        <f>E2713</f>
        <v>19766.7</v>
      </c>
      <c r="G2713" s="4">
        <f>E2713-F2713</f>
        <v>0</v>
      </c>
      <c r="H2713" s="4">
        <v>-3007</v>
      </c>
    </row>
    <row r="2714" spans="1:8" ht="22.5">
      <c r="A2714" s="4" t="s">
        <v>370</v>
      </c>
      <c r="B2714" s="5" t="s">
        <v>32</v>
      </c>
      <c r="C2714" s="5"/>
      <c r="D2714" s="4"/>
      <c r="E2714" s="6"/>
      <c r="F2714" s="6"/>
      <c r="G2714" s="4"/>
      <c r="H2714" s="4"/>
    </row>
    <row r="2715" spans="1:8" ht="22.5">
      <c r="A2715" s="4" t="s">
        <v>371</v>
      </c>
      <c r="B2715" s="5" t="s">
        <v>34</v>
      </c>
      <c r="C2715" s="5"/>
      <c r="D2715" s="4"/>
      <c r="E2715" s="6"/>
      <c r="F2715" s="6"/>
      <c r="G2715" s="4"/>
      <c r="H2715" s="4"/>
    </row>
    <row r="2716" spans="1:8" ht="12.75">
      <c r="A2716" s="4"/>
      <c r="B2716" s="4"/>
      <c r="C2716" s="4"/>
      <c r="D2716" s="4"/>
      <c r="E2716" s="4"/>
      <c r="F2716" s="4"/>
      <c r="G2716" s="4"/>
      <c r="H2716" s="4"/>
    </row>
    <row r="2717" spans="1:8" ht="12.75">
      <c r="A2717" s="4"/>
      <c r="B2717" s="4"/>
      <c r="C2717" s="4"/>
      <c r="D2717" s="4"/>
      <c r="E2717" s="4"/>
      <c r="F2717" s="4"/>
      <c r="G2717" s="4"/>
      <c r="H2717" s="4"/>
    </row>
    <row r="2723" ht="123.75" customHeight="1"/>
    <row r="2724" ht="12.75">
      <c r="A2724" t="s">
        <v>0</v>
      </c>
    </row>
    <row r="2725" ht="12.75">
      <c r="A2725" t="s">
        <v>291</v>
      </c>
    </row>
    <row r="2726" ht="12.75">
      <c r="A2726" t="s">
        <v>1</v>
      </c>
    </row>
    <row r="2727" ht="12.75">
      <c r="A2727" t="s">
        <v>416</v>
      </c>
    </row>
    <row r="2729" ht="12.75">
      <c r="A2729" t="s">
        <v>2</v>
      </c>
    </row>
    <row r="2731" ht="12.75">
      <c r="A2731" t="s">
        <v>376</v>
      </c>
    </row>
    <row r="2732" ht="12.75">
      <c r="A2732" t="s">
        <v>377</v>
      </c>
    </row>
    <row r="2733" ht="12.75">
      <c r="A2733" t="s">
        <v>4</v>
      </c>
    </row>
    <row r="2734" ht="12.75">
      <c r="A2734" t="s">
        <v>378</v>
      </c>
    </row>
    <row r="2735" ht="12.75">
      <c r="A2735" t="s">
        <v>5</v>
      </c>
    </row>
    <row r="2737" ht="12.75">
      <c r="A2737" t="s">
        <v>6</v>
      </c>
    </row>
    <row r="2738" ht="12.75">
      <c r="A2738" t="s">
        <v>7</v>
      </c>
    </row>
    <row r="2740" spans="1:8" ht="12.75">
      <c r="A2740" s="4" t="s">
        <v>8</v>
      </c>
      <c r="B2740" s="4" t="s">
        <v>13</v>
      </c>
      <c r="C2740" s="4" t="s">
        <v>9</v>
      </c>
      <c r="D2740" s="4" t="s">
        <v>10</v>
      </c>
      <c r="E2740" s="4" t="s">
        <v>15</v>
      </c>
      <c r="F2740" s="4" t="s">
        <v>16</v>
      </c>
      <c r="G2740" s="4" t="s">
        <v>9</v>
      </c>
      <c r="H2740" s="4" t="s">
        <v>11</v>
      </c>
    </row>
    <row r="2741" spans="1:8" ht="12.75">
      <c r="A2741" s="4"/>
      <c r="B2741" s="4"/>
      <c r="C2741" s="4" t="s">
        <v>417</v>
      </c>
      <c r="D2741" s="4" t="s">
        <v>418</v>
      </c>
      <c r="E2741" s="4" t="s">
        <v>14</v>
      </c>
      <c r="F2741" s="4" t="s">
        <v>17</v>
      </c>
      <c r="G2741" s="4" t="s">
        <v>420</v>
      </c>
      <c r="H2741" s="4" t="s">
        <v>12</v>
      </c>
    </row>
    <row r="2742" spans="1:8" ht="12.75">
      <c r="A2742" s="4"/>
      <c r="B2742" s="4"/>
      <c r="C2742" s="4"/>
      <c r="D2742" s="4"/>
      <c r="E2742" s="4" t="s">
        <v>419</v>
      </c>
      <c r="F2742" s="4" t="s">
        <v>419</v>
      </c>
      <c r="G2742" s="4"/>
      <c r="H2742" s="4" t="s">
        <v>421</v>
      </c>
    </row>
    <row r="2743" spans="1:8" ht="12.75">
      <c r="A2743" s="4"/>
      <c r="B2743" s="4"/>
      <c r="C2743" s="4"/>
      <c r="D2743" s="4"/>
      <c r="E2743" s="4"/>
      <c r="F2743" s="4"/>
      <c r="G2743" s="4"/>
      <c r="H2743" s="4"/>
    </row>
    <row r="2744" spans="1:8" ht="22.5">
      <c r="A2744" s="4">
        <v>1</v>
      </c>
      <c r="B2744" s="5" t="s">
        <v>18</v>
      </c>
      <c r="C2744" s="6"/>
      <c r="D2744" s="6">
        <v>5851.92</v>
      </c>
      <c r="E2744" s="6">
        <v>5851.92</v>
      </c>
      <c r="F2744" s="6">
        <f>D2744</f>
        <v>5851.92</v>
      </c>
      <c r="G2744" s="6"/>
      <c r="H2744" s="6">
        <v>-304.74</v>
      </c>
    </row>
    <row r="2745" spans="1:8" ht="22.5">
      <c r="A2745" s="4">
        <v>2</v>
      </c>
      <c r="B2745" s="5" t="s">
        <v>367</v>
      </c>
      <c r="C2745" s="8"/>
      <c r="D2745" s="6"/>
      <c r="E2745" s="6"/>
      <c r="F2745" s="6"/>
      <c r="G2745" s="6"/>
      <c r="H2745" s="6"/>
    </row>
    <row r="2746" spans="1:8" ht="12.75">
      <c r="A2746" s="4">
        <v>3</v>
      </c>
      <c r="B2746" s="5" t="s">
        <v>21</v>
      </c>
      <c r="C2746" s="8"/>
      <c r="D2746" s="6"/>
      <c r="E2746" s="6"/>
      <c r="F2746" s="6"/>
      <c r="G2746" s="6"/>
      <c r="H2746" s="6"/>
    </row>
    <row r="2747" spans="1:8" ht="12.75">
      <c r="A2747" s="4">
        <v>4</v>
      </c>
      <c r="B2747" s="5" t="s">
        <v>22</v>
      </c>
      <c r="C2747" s="8"/>
      <c r="D2747" s="6">
        <v>4789.08</v>
      </c>
      <c r="E2747" s="6">
        <v>4789.08</v>
      </c>
      <c r="F2747" s="6">
        <f>D2747</f>
        <v>4789.08</v>
      </c>
      <c r="G2747" s="6"/>
      <c r="H2747" s="6">
        <v>-199.24</v>
      </c>
    </row>
    <row r="2748" spans="1:8" ht="22.5">
      <c r="A2748" s="4">
        <v>5</v>
      </c>
      <c r="B2748" s="5" t="s">
        <v>23</v>
      </c>
      <c r="C2748" s="8"/>
      <c r="D2748" s="6"/>
      <c r="E2748" s="6"/>
      <c r="F2748" s="6"/>
      <c r="G2748" s="6"/>
      <c r="H2748" s="6"/>
    </row>
    <row r="2749" spans="1:8" ht="22.5">
      <c r="A2749" s="4">
        <v>6</v>
      </c>
      <c r="B2749" s="5" t="s">
        <v>24</v>
      </c>
      <c r="C2749" s="8">
        <v>1698.71</v>
      </c>
      <c r="D2749" s="6">
        <v>1171.08</v>
      </c>
      <c r="E2749" s="6">
        <v>1171.08</v>
      </c>
      <c r="F2749" s="6"/>
      <c r="G2749" s="6">
        <f>C2749+E2749-F2749</f>
        <v>2869.79</v>
      </c>
      <c r="H2749" s="6">
        <v>-129.61</v>
      </c>
    </row>
    <row r="2750" spans="1:8" ht="22.5">
      <c r="A2750" s="4">
        <v>7</v>
      </c>
      <c r="B2750" s="5" t="s">
        <v>25</v>
      </c>
      <c r="C2750" s="8"/>
      <c r="D2750" s="6"/>
      <c r="E2750" s="6"/>
      <c r="F2750" s="6"/>
      <c r="G2750" s="6"/>
      <c r="H2750" s="6"/>
    </row>
    <row r="2751" spans="1:8" ht="22.5">
      <c r="A2751" s="4">
        <v>8</v>
      </c>
      <c r="B2751" s="5" t="s">
        <v>26</v>
      </c>
      <c r="C2751" s="5"/>
      <c r="D2751" s="5">
        <f>D2752+D2753+D2754+D2755</f>
        <v>4134.58</v>
      </c>
      <c r="E2751" s="8">
        <f>E2752+E2753+E2754+E2755</f>
        <v>4134.58</v>
      </c>
      <c r="F2751" s="8">
        <f>F2752+F2753+F2754+F2755</f>
        <v>4134.58</v>
      </c>
      <c r="G2751" s="5">
        <f>G2752+G2753+G2754+G2755</f>
        <v>0</v>
      </c>
      <c r="H2751" s="5">
        <f>H2752+H2753+H2754+H2755</f>
        <v>-1449.08</v>
      </c>
    </row>
    <row r="2752" spans="1:8" ht="12.75">
      <c r="A2752" s="4" t="s">
        <v>368</v>
      </c>
      <c r="B2752" s="5" t="s">
        <v>28</v>
      </c>
      <c r="C2752" s="5"/>
      <c r="D2752" s="4"/>
      <c r="E2752" s="6"/>
      <c r="F2752" s="6"/>
      <c r="G2752" s="4"/>
      <c r="H2752" s="4"/>
    </row>
    <row r="2753" spans="1:8" ht="33.75">
      <c r="A2753" s="4" t="s">
        <v>369</v>
      </c>
      <c r="B2753" s="5" t="s">
        <v>30</v>
      </c>
      <c r="C2753" s="5"/>
      <c r="D2753" s="4">
        <v>4134.58</v>
      </c>
      <c r="E2753" s="6">
        <v>4134.58</v>
      </c>
      <c r="F2753" s="6">
        <f>E2753</f>
        <v>4134.58</v>
      </c>
      <c r="G2753" s="4">
        <f>E2753-F2753</f>
        <v>0</v>
      </c>
      <c r="H2753" s="4">
        <v>-1449.08</v>
      </c>
    </row>
    <row r="2754" spans="1:8" ht="22.5">
      <c r="A2754" s="4" t="s">
        <v>370</v>
      </c>
      <c r="B2754" s="5" t="s">
        <v>32</v>
      </c>
      <c r="C2754" s="5"/>
      <c r="D2754" s="4"/>
      <c r="E2754" s="6"/>
      <c r="F2754" s="6"/>
      <c r="G2754" s="4"/>
      <c r="H2754" s="4"/>
    </row>
    <row r="2755" spans="1:8" ht="22.5">
      <c r="A2755" s="4" t="s">
        <v>371</v>
      </c>
      <c r="B2755" s="5" t="s">
        <v>34</v>
      </c>
      <c r="C2755" s="5"/>
      <c r="D2755" s="4"/>
      <c r="E2755" s="6"/>
      <c r="F2755" s="6"/>
      <c r="G2755" s="4"/>
      <c r="H2755" s="4"/>
    </row>
    <row r="2756" spans="1:8" ht="12.75">
      <c r="A2756" s="4"/>
      <c r="B2756" s="4"/>
      <c r="C2756" s="4"/>
      <c r="D2756" s="4"/>
      <c r="E2756" s="4"/>
      <c r="F2756" s="4"/>
      <c r="G2756" s="4"/>
      <c r="H2756" s="4"/>
    </row>
    <row r="2757" spans="1:8" ht="12.75">
      <c r="A2757" s="4"/>
      <c r="B2757" s="4"/>
      <c r="C2757" s="4"/>
      <c r="D2757" s="4"/>
      <c r="E2757" s="4"/>
      <c r="F2757" s="4"/>
      <c r="G2757" s="4"/>
      <c r="H2757" s="4"/>
    </row>
    <row r="2763" ht="120.75" customHeight="1"/>
    <row r="2764" ht="12.75">
      <c r="A2764" t="s">
        <v>0</v>
      </c>
    </row>
    <row r="2765" ht="12.75">
      <c r="A2765" t="s">
        <v>291</v>
      </c>
    </row>
    <row r="2766" ht="12.75">
      <c r="A2766" t="s">
        <v>1</v>
      </c>
    </row>
    <row r="2767" ht="12.75">
      <c r="A2767" t="s">
        <v>416</v>
      </c>
    </row>
    <row r="2769" ht="12.75">
      <c r="A2769" t="s">
        <v>2</v>
      </c>
    </row>
    <row r="2771" ht="12.75">
      <c r="A2771" t="s">
        <v>380</v>
      </c>
    </row>
    <row r="2772" ht="12.75">
      <c r="A2772" t="s">
        <v>381</v>
      </c>
    </row>
    <row r="2773" ht="12.75">
      <c r="A2773" t="s">
        <v>4</v>
      </c>
    </row>
    <row r="2774" ht="12.75">
      <c r="A2774" t="s">
        <v>382</v>
      </c>
    </row>
    <row r="2775" ht="12.75">
      <c r="A2775" t="s">
        <v>5</v>
      </c>
    </row>
    <row r="2777" ht="12.75">
      <c r="A2777" t="s">
        <v>6</v>
      </c>
    </row>
    <row r="2778" ht="12.75">
      <c r="A2778" t="s">
        <v>7</v>
      </c>
    </row>
    <row r="2780" spans="1:8" ht="12.75">
      <c r="A2780" s="4" t="s">
        <v>8</v>
      </c>
      <c r="B2780" s="4" t="s">
        <v>13</v>
      </c>
      <c r="C2780" s="4" t="s">
        <v>9</v>
      </c>
      <c r="D2780" s="4" t="s">
        <v>10</v>
      </c>
      <c r="E2780" s="4" t="s">
        <v>15</v>
      </c>
      <c r="F2780" s="4" t="s">
        <v>16</v>
      </c>
      <c r="G2780" s="4" t="s">
        <v>9</v>
      </c>
      <c r="H2780" s="4" t="s">
        <v>11</v>
      </c>
    </row>
    <row r="2781" spans="1:8" ht="12.75">
      <c r="A2781" s="4"/>
      <c r="B2781" s="4"/>
      <c r="C2781" s="4" t="s">
        <v>417</v>
      </c>
      <c r="D2781" s="4" t="s">
        <v>418</v>
      </c>
      <c r="E2781" s="4" t="s">
        <v>14</v>
      </c>
      <c r="F2781" s="4" t="s">
        <v>17</v>
      </c>
      <c r="G2781" s="4" t="s">
        <v>420</v>
      </c>
      <c r="H2781" s="4" t="s">
        <v>12</v>
      </c>
    </row>
    <row r="2782" spans="1:8" ht="12.75">
      <c r="A2782" s="4"/>
      <c r="B2782" s="4"/>
      <c r="C2782" s="4"/>
      <c r="D2782" s="4"/>
      <c r="E2782" s="4" t="s">
        <v>419</v>
      </c>
      <c r="F2782" s="4" t="s">
        <v>419</v>
      </c>
      <c r="G2782" s="4"/>
      <c r="H2782" s="4" t="s">
        <v>421</v>
      </c>
    </row>
    <row r="2783" spans="1:8" ht="12.75">
      <c r="A2783" s="4"/>
      <c r="B2783" s="4"/>
      <c r="C2783" s="4"/>
      <c r="D2783" s="4"/>
      <c r="E2783" s="4"/>
      <c r="F2783" s="4"/>
      <c r="G2783" s="4"/>
      <c r="H2783" s="4"/>
    </row>
    <row r="2784" spans="1:8" ht="22.5">
      <c r="A2784" s="4">
        <v>1</v>
      </c>
      <c r="B2784" s="5" t="s">
        <v>18</v>
      </c>
      <c r="C2784" s="6"/>
      <c r="D2784" s="6">
        <v>6687.84</v>
      </c>
      <c r="E2784" s="6">
        <v>2101.27</v>
      </c>
      <c r="F2784" s="6">
        <f>D2784</f>
        <v>6687.84</v>
      </c>
      <c r="G2784" s="6"/>
      <c r="H2784" s="6">
        <f>-14188.47-4335-4586.57</f>
        <v>-23110.04</v>
      </c>
    </row>
    <row r="2785" spans="1:8" ht="12.75">
      <c r="A2785" s="4">
        <v>3</v>
      </c>
      <c r="B2785" s="5" t="s">
        <v>21</v>
      </c>
      <c r="C2785" s="8"/>
      <c r="D2785" s="6"/>
      <c r="E2785" s="6"/>
      <c r="F2785" s="6"/>
      <c r="G2785" s="6"/>
      <c r="H2785" s="6"/>
    </row>
    <row r="2786" spans="1:8" ht="12.75">
      <c r="A2786" s="4">
        <v>4</v>
      </c>
      <c r="B2786" s="5" t="s">
        <v>22</v>
      </c>
      <c r="C2786" s="8"/>
      <c r="D2786" s="6">
        <v>3440.46</v>
      </c>
      <c r="E2786" s="6">
        <v>1042.94</v>
      </c>
      <c r="F2786" s="6">
        <f>D2786</f>
        <v>3440.46</v>
      </c>
      <c r="G2786" s="6"/>
      <c r="H2786" s="6">
        <f>-7370.63-1800-2397.52</f>
        <v>-11568.150000000001</v>
      </c>
    </row>
    <row r="2787" spans="1:8" ht="22.5">
      <c r="A2787" s="4">
        <v>5</v>
      </c>
      <c r="B2787" s="5" t="s">
        <v>23</v>
      </c>
      <c r="C2787" s="8"/>
      <c r="D2787" s="6"/>
      <c r="E2787" s="6"/>
      <c r="F2787" s="6"/>
      <c r="G2787" s="6"/>
      <c r="H2787" s="6"/>
    </row>
    <row r="2788" spans="1:8" ht="22.5">
      <c r="A2788" s="4">
        <v>6</v>
      </c>
      <c r="B2788" s="5" t="s">
        <v>24</v>
      </c>
      <c r="C2788" s="8">
        <v>3168.26</v>
      </c>
      <c r="D2788" s="6">
        <v>160.36</v>
      </c>
      <c r="E2788" s="6">
        <v>501.18</v>
      </c>
      <c r="F2788" s="6"/>
      <c r="G2788" s="6">
        <f>C2788+E2788-F2788</f>
        <v>3669.44</v>
      </c>
      <c r="H2788" s="6">
        <f>-3653.22-674-759.18</f>
        <v>-5086.4</v>
      </c>
    </row>
    <row r="2789" spans="1:8" ht="22.5">
      <c r="A2789" s="4">
        <v>7</v>
      </c>
      <c r="B2789" s="5" t="s">
        <v>25</v>
      </c>
      <c r="C2789" s="8"/>
      <c r="D2789" s="6"/>
      <c r="E2789" s="6"/>
      <c r="F2789" s="6"/>
      <c r="G2789" s="6"/>
      <c r="H2789" s="6"/>
    </row>
    <row r="2790" spans="1:8" ht="22.5">
      <c r="A2790" s="4">
        <v>8</v>
      </c>
      <c r="B2790" s="5" t="s">
        <v>26</v>
      </c>
      <c r="C2790" s="5"/>
      <c r="D2790" s="5">
        <f>D2791+D2792+D2793+D2794</f>
        <v>1951.14</v>
      </c>
      <c r="E2790" s="8">
        <f>E2791+E2792+E2793+E2794</f>
        <v>730.81</v>
      </c>
      <c r="F2790" s="8">
        <f>F2791+F2792+F2793+F2794</f>
        <v>730.81</v>
      </c>
      <c r="G2790" s="5">
        <f>G2791+G2792+G2793+G2794</f>
        <v>0</v>
      </c>
      <c r="H2790" s="5">
        <f>H2791+H2792+H2793+H2794</f>
        <v>-7450.16</v>
      </c>
    </row>
    <row r="2791" spans="1:8" ht="12.75">
      <c r="A2791" s="4" t="s">
        <v>368</v>
      </c>
      <c r="B2791" s="5" t="s">
        <v>28</v>
      </c>
      <c r="C2791" s="5"/>
      <c r="D2791" s="4"/>
      <c r="E2791" s="6"/>
      <c r="F2791" s="6"/>
      <c r="G2791" s="4"/>
      <c r="H2791" s="4"/>
    </row>
    <row r="2792" spans="1:8" ht="33.75">
      <c r="A2792" s="4" t="s">
        <v>369</v>
      </c>
      <c r="B2792" s="5" t="s">
        <v>30</v>
      </c>
      <c r="C2792" s="5"/>
      <c r="D2792" s="4">
        <v>1951.14</v>
      </c>
      <c r="E2792" s="6">
        <v>730.81</v>
      </c>
      <c r="F2792" s="6">
        <f>E2792</f>
        <v>730.81</v>
      </c>
      <c r="G2792" s="4">
        <f>E2792-F2792</f>
        <v>0</v>
      </c>
      <c r="H2792" s="4">
        <f>-5072.83-1157-1220.33</f>
        <v>-7450.16</v>
      </c>
    </row>
    <row r="2793" spans="1:8" ht="22.5">
      <c r="A2793" s="4" t="s">
        <v>370</v>
      </c>
      <c r="B2793" s="5" t="s">
        <v>32</v>
      </c>
      <c r="C2793" s="5"/>
      <c r="D2793" s="4"/>
      <c r="E2793" s="6"/>
      <c r="F2793" s="6"/>
      <c r="G2793" s="4"/>
      <c r="H2793" s="4"/>
    </row>
    <row r="2794" spans="1:8" ht="22.5">
      <c r="A2794" s="4" t="s">
        <v>371</v>
      </c>
      <c r="B2794" s="5" t="s">
        <v>34</v>
      </c>
      <c r="C2794" s="5"/>
      <c r="D2794" s="4"/>
      <c r="E2794" s="6"/>
      <c r="F2794" s="6"/>
      <c r="G2794" s="4"/>
      <c r="H2794" s="4"/>
    </row>
    <row r="2795" spans="1:8" ht="12.75">
      <c r="A2795" s="4"/>
      <c r="B2795" s="4"/>
      <c r="C2795" s="4"/>
      <c r="D2795" s="4"/>
      <c r="E2795" s="4"/>
      <c r="F2795" s="4"/>
      <c r="G2795" s="4"/>
      <c r="H2795" s="4"/>
    </row>
    <row r="2796" spans="1:8" ht="12.75">
      <c r="A2796" s="4"/>
      <c r="B2796" s="4"/>
      <c r="C2796" s="4"/>
      <c r="D2796" s="4"/>
      <c r="E2796" s="4"/>
      <c r="F2796" s="4"/>
      <c r="G2796" s="4"/>
      <c r="H2796" s="4"/>
    </row>
    <row r="2802" ht="138.75" customHeight="1"/>
  </sheetData>
  <sheetProtection/>
  <mergeCells count="1">
    <mergeCell ref="B76:H76"/>
  </mergeCells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64"/>
  <sheetViews>
    <sheetView tabSelected="1" view="pageBreakPreview" zoomScaleSheetLayoutView="100" zoomScalePageLayoutView="0" workbookViewId="0" topLeftCell="A1402">
      <selection activeCell="D1429" sqref="D1429"/>
    </sheetView>
  </sheetViews>
  <sheetFormatPr defaultColWidth="9.00390625" defaultRowHeight="12.75"/>
  <cols>
    <col min="1" max="1" width="4.375" style="0" customWidth="1"/>
    <col min="2" max="3" width="25.875" style="0" customWidth="1"/>
    <col min="4" max="4" width="28.75390625" style="0" customWidth="1"/>
    <col min="5" max="5" width="0.37109375" style="0" hidden="1" customWidth="1"/>
    <col min="6" max="7" width="9.125" style="0" hidden="1" customWidth="1"/>
    <col min="8" max="8" width="2.00390625" style="0" hidden="1" customWidth="1"/>
    <col min="9" max="9" width="2.625" style="0" hidden="1" customWidth="1"/>
    <col min="10" max="10" width="9.125" style="0" hidden="1" customWidth="1"/>
  </cols>
  <sheetData>
    <row r="1" spans="1:12" s="15" customFormat="1" ht="15.75">
      <c r="A1" s="46" t="s">
        <v>262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14"/>
    </row>
    <row r="2" spans="1:12" s="15" customFormat="1" ht="15.75">
      <c r="A2" s="46" t="s">
        <v>291</v>
      </c>
      <c r="B2" s="46"/>
      <c r="C2" s="46"/>
      <c r="D2" s="46"/>
      <c r="E2" s="46"/>
      <c r="F2" s="46"/>
      <c r="G2" s="46"/>
      <c r="H2" s="46"/>
      <c r="I2" s="46"/>
      <c r="J2" s="46"/>
      <c r="K2" s="14"/>
      <c r="L2" s="14"/>
    </row>
    <row r="3" spans="1:12" s="15" customFormat="1" ht="15.75">
      <c r="A3" s="46" t="s">
        <v>263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8" s="15" customFormat="1" ht="63" customHeight="1">
      <c r="A4" s="47" t="s">
        <v>290</v>
      </c>
      <c r="B4" s="47"/>
      <c r="C4" s="47"/>
      <c r="D4" s="47"/>
      <c r="E4" s="47"/>
      <c r="F4" s="47"/>
      <c r="G4" s="47"/>
      <c r="H4" s="47"/>
      <c r="I4" s="47"/>
      <c r="J4" s="47"/>
      <c r="K4" s="16"/>
      <c r="L4" s="16"/>
      <c r="M4" s="17"/>
      <c r="N4" s="17"/>
      <c r="O4" s="17"/>
      <c r="P4" s="17"/>
      <c r="Q4" s="17"/>
      <c r="R4" s="17"/>
    </row>
    <row r="5" spans="1:18" ht="11.2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3"/>
      <c r="L5" s="13"/>
      <c r="M5" s="13"/>
      <c r="N5" s="13"/>
      <c r="O5" s="13"/>
      <c r="P5" s="13"/>
      <c r="Q5" s="13"/>
      <c r="R5" s="13"/>
    </row>
    <row r="6" spans="1:18" ht="12.75">
      <c r="A6" s="18" t="s">
        <v>264</v>
      </c>
      <c r="B6" s="48" t="s">
        <v>266</v>
      </c>
      <c r="C6" s="48" t="s">
        <v>267</v>
      </c>
      <c r="D6" s="18" t="s">
        <v>268</v>
      </c>
      <c r="K6" s="13"/>
      <c r="L6" s="13"/>
      <c r="M6" s="13"/>
      <c r="N6" s="13"/>
      <c r="O6" s="13"/>
      <c r="P6" s="13"/>
      <c r="Q6" s="13"/>
      <c r="R6" s="13"/>
    </row>
    <row r="7" spans="1:4" ht="12.75">
      <c r="A7" s="18" t="s">
        <v>265</v>
      </c>
      <c r="B7" s="48"/>
      <c r="C7" s="48"/>
      <c r="D7" s="18" t="s">
        <v>269</v>
      </c>
    </row>
    <row r="8" spans="1:4" ht="38.25">
      <c r="A8" s="19" t="s">
        <v>270</v>
      </c>
      <c r="B8" s="19" t="s">
        <v>271</v>
      </c>
      <c r="C8" s="19"/>
      <c r="D8" s="18">
        <f>D9+D10+D11+D12+D13+D14</f>
        <v>113050.77</v>
      </c>
    </row>
    <row r="9" spans="1:4" ht="38.25">
      <c r="A9" s="19" t="s">
        <v>19</v>
      </c>
      <c r="B9" s="20" t="s">
        <v>272</v>
      </c>
      <c r="C9" s="19"/>
      <c r="D9" s="18">
        <v>1912.27</v>
      </c>
    </row>
    <row r="10" spans="1:4" ht="38.25">
      <c r="A10" s="19" t="s">
        <v>20</v>
      </c>
      <c r="B10" s="20" t="s">
        <v>273</v>
      </c>
      <c r="C10" s="19"/>
      <c r="D10" s="18">
        <v>84266.5</v>
      </c>
    </row>
    <row r="11" spans="1:4" ht="38.25">
      <c r="A11" s="21" t="s">
        <v>293</v>
      </c>
      <c r="B11" s="20" t="s">
        <v>274</v>
      </c>
      <c r="C11" s="19"/>
      <c r="D11" s="18"/>
    </row>
    <row r="12" spans="1:4" ht="38.25">
      <c r="A12" s="21" t="s">
        <v>292</v>
      </c>
      <c r="B12" s="20" t="s">
        <v>275</v>
      </c>
      <c r="C12" s="19"/>
      <c r="D12" s="18">
        <v>872</v>
      </c>
    </row>
    <row r="13" spans="1:4" ht="38.25">
      <c r="A13" s="21" t="s">
        <v>294</v>
      </c>
      <c r="B13" s="20" t="s">
        <v>276</v>
      </c>
      <c r="C13" s="19"/>
      <c r="D13" s="18"/>
    </row>
    <row r="14" spans="1:4" ht="25.5">
      <c r="A14" s="21" t="s">
        <v>295</v>
      </c>
      <c r="B14" s="20" t="s">
        <v>277</v>
      </c>
      <c r="C14" s="19"/>
      <c r="D14" s="18">
        <v>26000</v>
      </c>
    </row>
    <row r="15" spans="1:4" ht="12.75">
      <c r="A15" s="19" t="s">
        <v>278</v>
      </c>
      <c r="B15" s="19" t="s">
        <v>279</v>
      </c>
      <c r="C15" s="19"/>
      <c r="D15" s="18">
        <f>D16</f>
        <v>0</v>
      </c>
    </row>
    <row r="16" spans="1:4" ht="12.75">
      <c r="A16" s="19" t="s">
        <v>280</v>
      </c>
      <c r="B16" s="19"/>
      <c r="C16" s="19"/>
      <c r="D16" s="18"/>
    </row>
    <row r="17" spans="1:4" ht="12.75">
      <c r="A17" s="19" t="s">
        <v>281</v>
      </c>
      <c r="B17" s="19"/>
      <c r="C17" s="19"/>
      <c r="D17" s="18"/>
    </row>
    <row r="18" spans="1:4" ht="12.75">
      <c r="A18" s="19" t="s">
        <v>282</v>
      </c>
      <c r="B18" s="19"/>
      <c r="C18" s="19"/>
      <c r="D18" s="18"/>
    </row>
    <row r="19" ht="12.75">
      <c r="A19" s="1"/>
    </row>
    <row r="20" ht="12.75">
      <c r="A20" s="1" t="s">
        <v>283</v>
      </c>
    </row>
    <row r="21" spans="1:3" ht="12.75">
      <c r="A21" s="1" t="s">
        <v>411</v>
      </c>
      <c r="C21" t="s">
        <v>393</v>
      </c>
    </row>
    <row r="22" ht="12.75">
      <c r="A22" s="1"/>
    </row>
    <row r="23" ht="12.75">
      <c r="A23" s="1" t="s">
        <v>285</v>
      </c>
    </row>
    <row r="24" ht="12.75">
      <c r="A24" s="1"/>
    </row>
    <row r="25" spans="1:2" ht="12.75">
      <c r="A25" s="1" t="s">
        <v>286</v>
      </c>
      <c r="B25" t="s">
        <v>394</v>
      </c>
    </row>
    <row r="26" ht="12.75">
      <c r="A26" s="1" t="s">
        <v>287</v>
      </c>
    </row>
    <row r="27" ht="12.75">
      <c r="A27" s="9"/>
    </row>
    <row r="28" ht="12.75">
      <c r="A28" s="9"/>
    </row>
    <row r="29" spans="1:4" ht="44.25" customHeight="1">
      <c r="A29" s="49" t="s">
        <v>288</v>
      </c>
      <c r="B29" s="49"/>
      <c r="C29" s="49"/>
      <c r="D29" s="49"/>
    </row>
    <row r="30" ht="12.75">
      <c r="A30" s="10"/>
    </row>
    <row r="31" ht="12.75">
      <c r="A31" s="10"/>
    </row>
    <row r="32" ht="12.75">
      <c r="A32" s="10"/>
    </row>
    <row r="33" ht="12.75">
      <c r="A33" s="1" t="s">
        <v>286</v>
      </c>
    </row>
    <row r="34" ht="12.75">
      <c r="A34" s="1" t="s">
        <v>289</v>
      </c>
    </row>
    <row r="35" ht="12.75">
      <c r="A35" s="11"/>
    </row>
    <row r="37" spans="1:12" ht="15.75">
      <c r="A37" s="46" t="s">
        <v>262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14"/>
    </row>
    <row r="38" spans="1:12" ht="15.75">
      <c r="A38" s="46" t="s">
        <v>291</v>
      </c>
      <c r="B38" s="46"/>
      <c r="C38" s="46"/>
      <c r="D38" s="46"/>
      <c r="E38" s="46"/>
      <c r="F38" s="46"/>
      <c r="G38" s="46"/>
      <c r="H38" s="46"/>
      <c r="I38" s="46"/>
      <c r="J38" s="46"/>
      <c r="K38" s="14"/>
      <c r="L38" s="14"/>
    </row>
    <row r="39" spans="1:12" ht="15.75">
      <c r="A39" s="46" t="s">
        <v>296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53.25" customHeight="1">
      <c r="A40" s="47" t="s">
        <v>290</v>
      </c>
      <c r="B40" s="47"/>
      <c r="C40" s="47"/>
      <c r="D40" s="47"/>
      <c r="E40" s="47"/>
      <c r="F40" s="47"/>
      <c r="G40" s="47"/>
      <c r="H40" s="47"/>
      <c r="I40" s="47"/>
      <c r="J40" s="47"/>
      <c r="K40" s="16"/>
      <c r="L40" s="16"/>
    </row>
    <row r="41" spans="1:12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3"/>
      <c r="L41" s="13"/>
    </row>
    <row r="42" spans="1:12" ht="12.75">
      <c r="A42" s="18" t="s">
        <v>264</v>
      </c>
      <c r="B42" s="48" t="s">
        <v>266</v>
      </c>
      <c r="C42" s="48" t="s">
        <v>267</v>
      </c>
      <c r="D42" s="18" t="s">
        <v>268</v>
      </c>
      <c r="K42" s="13"/>
      <c r="L42" s="13"/>
    </row>
    <row r="43" spans="1:4" ht="12.75">
      <c r="A43" s="18" t="s">
        <v>265</v>
      </c>
      <c r="B43" s="48"/>
      <c r="C43" s="48"/>
      <c r="D43" s="18" t="s">
        <v>269</v>
      </c>
    </row>
    <row r="44" spans="1:4" ht="38.25">
      <c r="A44" s="19" t="s">
        <v>270</v>
      </c>
      <c r="B44" s="19" t="s">
        <v>271</v>
      </c>
      <c r="C44" s="19"/>
      <c r="D44" s="18">
        <f>D45+D46+D47+D48+D49+D50</f>
        <v>151106.68</v>
      </c>
    </row>
    <row r="45" spans="1:4" ht="38.25">
      <c r="A45" s="19" t="s">
        <v>19</v>
      </c>
      <c r="B45" s="20" t="s">
        <v>272</v>
      </c>
      <c r="C45" s="19"/>
      <c r="D45" s="18">
        <v>9986</v>
      </c>
    </row>
    <row r="46" spans="1:4" ht="38.25">
      <c r="A46" s="19" t="s">
        <v>20</v>
      </c>
      <c r="B46" s="20" t="s">
        <v>273</v>
      </c>
      <c r="C46" s="19"/>
      <c r="D46" s="18">
        <f>62994.13+76170.14</f>
        <v>139164.27</v>
      </c>
    </row>
    <row r="47" spans="1:4" ht="38.25">
      <c r="A47" s="21" t="s">
        <v>293</v>
      </c>
      <c r="B47" s="20" t="s">
        <v>274</v>
      </c>
      <c r="C47" s="19"/>
      <c r="D47" s="18"/>
    </row>
    <row r="48" spans="1:4" ht="38.25">
      <c r="A48" s="21" t="s">
        <v>292</v>
      </c>
      <c r="B48" s="20" t="s">
        <v>275</v>
      </c>
      <c r="C48" s="19"/>
      <c r="D48" s="18"/>
    </row>
    <row r="49" spans="1:4" ht="38.25">
      <c r="A49" s="21" t="s">
        <v>294</v>
      </c>
      <c r="B49" s="20" t="s">
        <v>276</v>
      </c>
      <c r="C49" s="19"/>
      <c r="D49" s="18">
        <v>1956.41</v>
      </c>
    </row>
    <row r="50" spans="1:4" ht="25.5">
      <c r="A50" s="21" t="s">
        <v>295</v>
      </c>
      <c r="B50" s="20" t="s">
        <v>277</v>
      </c>
      <c r="C50" s="19"/>
      <c r="D50" s="18"/>
    </row>
    <row r="51" spans="1:4" ht="12.75">
      <c r="A51" s="19" t="s">
        <v>278</v>
      </c>
      <c r="B51" s="19" t="s">
        <v>279</v>
      </c>
      <c r="C51" s="19"/>
      <c r="D51" s="18"/>
    </row>
    <row r="52" spans="1:4" ht="12.75">
      <c r="A52" s="19" t="s">
        <v>280</v>
      </c>
      <c r="B52" s="19"/>
      <c r="C52" s="19"/>
      <c r="D52" s="18"/>
    </row>
    <row r="53" spans="1:4" ht="12.75">
      <c r="A53" s="19" t="s">
        <v>281</v>
      </c>
      <c r="B53" s="19"/>
      <c r="C53" s="19"/>
      <c r="D53" s="18"/>
    </row>
    <row r="54" spans="1:4" ht="12.75">
      <c r="A54" s="19" t="s">
        <v>282</v>
      </c>
      <c r="B54" s="19"/>
      <c r="C54" s="19"/>
      <c r="D54" s="18"/>
    </row>
    <row r="55" ht="12.75">
      <c r="A55" s="1"/>
    </row>
    <row r="56" ht="12.75">
      <c r="A56" s="1" t="s">
        <v>283</v>
      </c>
    </row>
    <row r="57" spans="1:3" ht="12.75">
      <c r="A57" s="1" t="s">
        <v>284</v>
      </c>
      <c r="C57" t="s">
        <v>291</v>
      </c>
    </row>
    <row r="58" ht="12.75">
      <c r="A58" s="1"/>
    </row>
    <row r="59" ht="12.75">
      <c r="A59" s="1" t="s">
        <v>285</v>
      </c>
    </row>
    <row r="60" ht="12.75">
      <c r="A60" s="1"/>
    </row>
    <row r="61" ht="12.75">
      <c r="A61" s="1" t="s">
        <v>396</v>
      </c>
    </row>
    <row r="62" ht="12.75">
      <c r="A62" s="1" t="s">
        <v>287</v>
      </c>
    </row>
    <row r="63" ht="12.75">
      <c r="A63" s="9"/>
    </row>
    <row r="64" ht="12.75">
      <c r="A64" s="9"/>
    </row>
    <row r="65" spans="1:4" ht="37.5" customHeight="1">
      <c r="A65" s="49" t="s">
        <v>288</v>
      </c>
      <c r="B65" s="49"/>
      <c r="C65" s="49"/>
      <c r="D65" s="49"/>
    </row>
    <row r="66" ht="12.75">
      <c r="A66" s="10"/>
    </row>
    <row r="67" ht="12.75">
      <c r="A67" s="10"/>
    </row>
    <row r="68" ht="12.75">
      <c r="A68" s="10"/>
    </row>
    <row r="69" ht="12.75">
      <c r="A69" s="1" t="s">
        <v>286</v>
      </c>
    </row>
    <row r="70" ht="12.75">
      <c r="A70" s="1" t="s">
        <v>289</v>
      </c>
    </row>
    <row r="71" ht="12.75">
      <c r="A71" s="11"/>
    </row>
    <row r="76" spans="1:12" ht="15.75">
      <c r="A76" s="46" t="s">
        <v>262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14"/>
    </row>
    <row r="77" spans="1:12" ht="15.75">
      <c r="A77" s="46" t="s">
        <v>291</v>
      </c>
      <c r="B77" s="46"/>
      <c r="C77" s="46"/>
      <c r="D77" s="46"/>
      <c r="E77" s="46"/>
      <c r="F77" s="46"/>
      <c r="G77" s="46"/>
      <c r="H77" s="46"/>
      <c r="I77" s="46"/>
      <c r="J77" s="46"/>
      <c r="K77" s="14"/>
      <c r="L77" s="14"/>
    </row>
    <row r="78" spans="1:12" ht="15.75">
      <c r="A78" s="46" t="s">
        <v>297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53.25" customHeight="1">
      <c r="A79" s="47" t="s">
        <v>290</v>
      </c>
      <c r="B79" s="47"/>
      <c r="C79" s="47"/>
      <c r="D79" s="47"/>
      <c r="E79" s="47"/>
      <c r="F79" s="47"/>
      <c r="G79" s="47"/>
      <c r="H79" s="47"/>
      <c r="I79" s="47"/>
      <c r="J79" s="47"/>
      <c r="K79" s="16"/>
      <c r="L79" s="16"/>
    </row>
    <row r="80" spans="1:12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3"/>
      <c r="L80" s="13"/>
    </row>
    <row r="81" spans="1:12" ht="12.75">
      <c r="A81" s="18" t="s">
        <v>264</v>
      </c>
      <c r="B81" s="48" t="s">
        <v>266</v>
      </c>
      <c r="C81" s="48" t="s">
        <v>267</v>
      </c>
      <c r="D81" s="18" t="s">
        <v>268</v>
      </c>
      <c r="K81" s="13"/>
      <c r="L81" s="13"/>
    </row>
    <row r="82" spans="1:4" ht="12.75">
      <c r="A82" s="18" t="s">
        <v>265</v>
      </c>
      <c r="B82" s="48"/>
      <c r="C82" s="48"/>
      <c r="D82" s="18" t="s">
        <v>269</v>
      </c>
    </row>
    <row r="83" spans="1:4" ht="38.25">
      <c r="A83" s="19" t="s">
        <v>270</v>
      </c>
      <c r="B83" s="19" t="s">
        <v>271</v>
      </c>
      <c r="C83" s="19"/>
      <c r="D83" s="18">
        <f>D84+D85+D86+D87+D88+D89</f>
        <v>254899.79</v>
      </c>
    </row>
    <row r="84" spans="1:4" ht="38.25">
      <c r="A84" s="19" t="s">
        <v>19</v>
      </c>
      <c r="B84" s="20" t="s">
        <v>272</v>
      </c>
      <c r="C84" s="19"/>
      <c r="D84" s="18"/>
    </row>
    <row r="85" spans="1:4" ht="38.25">
      <c r="A85" s="19" t="s">
        <v>20</v>
      </c>
      <c r="B85" s="20" t="s">
        <v>273</v>
      </c>
      <c r="C85" s="19"/>
      <c r="D85" s="18">
        <f>5129+180481.79+54813.94</f>
        <v>240424.73</v>
      </c>
    </row>
    <row r="86" spans="1:4" ht="38.25">
      <c r="A86" s="21" t="s">
        <v>293</v>
      </c>
      <c r="B86" s="20" t="s">
        <v>274</v>
      </c>
      <c r="C86" s="19"/>
      <c r="D86" s="18">
        <f>435+2225.68+646.72</f>
        <v>3307.3999999999996</v>
      </c>
    </row>
    <row r="87" spans="1:4" ht="38.25">
      <c r="A87" s="21" t="s">
        <v>292</v>
      </c>
      <c r="B87" s="20" t="s">
        <v>275</v>
      </c>
      <c r="C87" s="19"/>
      <c r="D87" s="18">
        <f>1591.42+646.71+8929.53</f>
        <v>11167.66</v>
      </c>
    </row>
    <row r="88" spans="1:4" ht="38.25">
      <c r="A88" s="21" t="s">
        <v>294</v>
      </c>
      <c r="B88" s="20" t="s">
        <v>276</v>
      </c>
      <c r="C88" s="19"/>
      <c r="D88" s="18"/>
    </row>
    <row r="89" spans="1:4" ht="25.5">
      <c r="A89" s="21" t="s">
        <v>295</v>
      </c>
      <c r="B89" s="20" t="s">
        <v>277</v>
      </c>
      <c r="C89" s="19"/>
      <c r="D89" s="18"/>
    </row>
    <row r="90" spans="1:4" ht="12.75">
      <c r="A90" s="19" t="s">
        <v>278</v>
      </c>
      <c r="B90" s="19" t="s">
        <v>279</v>
      </c>
      <c r="C90" s="19"/>
      <c r="D90" s="18"/>
    </row>
    <row r="91" spans="1:4" ht="12.75">
      <c r="A91" s="19" t="s">
        <v>280</v>
      </c>
      <c r="B91" s="19"/>
      <c r="C91" s="19"/>
      <c r="D91" s="18"/>
    </row>
    <row r="92" spans="1:4" ht="12.75">
      <c r="A92" s="19" t="s">
        <v>281</v>
      </c>
      <c r="B92" s="19"/>
      <c r="C92" s="19"/>
      <c r="D92" s="18"/>
    </row>
    <row r="93" spans="1:4" ht="12.75">
      <c r="A93" s="19" t="s">
        <v>282</v>
      </c>
      <c r="B93" s="19"/>
      <c r="C93" s="19"/>
      <c r="D93" s="18"/>
    </row>
    <row r="94" ht="12.75">
      <c r="A94" s="1"/>
    </row>
    <row r="95" ht="12.75">
      <c r="A95" s="1"/>
    </row>
    <row r="96" ht="12.75">
      <c r="A96" s="1" t="s">
        <v>283</v>
      </c>
    </row>
    <row r="97" spans="1:3" ht="12.75">
      <c r="A97" s="1" t="s">
        <v>284</v>
      </c>
      <c r="C97" t="s">
        <v>291</v>
      </c>
    </row>
    <row r="98" ht="12.75">
      <c r="A98" s="1"/>
    </row>
    <row r="99" ht="12.75">
      <c r="A99" s="1" t="s">
        <v>285</v>
      </c>
    </row>
    <row r="100" ht="12.75">
      <c r="A100" s="1"/>
    </row>
    <row r="101" ht="12.75">
      <c r="A101" s="1" t="s">
        <v>396</v>
      </c>
    </row>
    <row r="102" ht="12.75">
      <c r="A102" s="1" t="s">
        <v>287</v>
      </c>
    </row>
    <row r="103" ht="12.75">
      <c r="A103" s="9"/>
    </row>
    <row r="104" ht="36.75" customHeight="1">
      <c r="A104" s="9"/>
    </row>
    <row r="105" spans="1:4" ht="12.75">
      <c r="A105" s="49" t="s">
        <v>288</v>
      </c>
      <c r="B105" s="49"/>
      <c r="C105" s="49"/>
      <c r="D105" s="49"/>
    </row>
    <row r="106" ht="12.75">
      <c r="A106" s="10"/>
    </row>
    <row r="107" ht="12.75">
      <c r="A107" s="10"/>
    </row>
    <row r="108" ht="12.75">
      <c r="A108" s="10"/>
    </row>
    <row r="109" ht="12.75">
      <c r="A109" s="1" t="s">
        <v>286</v>
      </c>
    </row>
    <row r="110" ht="12.75">
      <c r="A110" s="1" t="s">
        <v>289</v>
      </c>
    </row>
    <row r="111" spans="1:12" ht="15.75">
      <c r="A111" s="46" t="s">
        <v>262</v>
      </c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14"/>
    </row>
    <row r="112" spans="1:12" ht="15.75">
      <c r="A112" s="46" t="s">
        <v>291</v>
      </c>
      <c r="B112" s="46"/>
      <c r="C112" s="46"/>
      <c r="D112" s="46"/>
      <c r="E112" s="46"/>
      <c r="F112" s="46"/>
      <c r="G112" s="46"/>
      <c r="H112" s="46"/>
      <c r="I112" s="46"/>
      <c r="J112" s="46"/>
      <c r="K112" s="14"/>
      <c r="L112" s="14"/>
    </row>
    <row r="113" spans="1:12" ht="15.75">
      <c r="A113" s="46" t="s">
        <v>298</v>
      </c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52.5" customHeight="1">
      <c r="A114" s="47" t="s">
        <v>290</v>
      </c>
      <c r="B114" s="47"/>
      <c r="C114" s="47"/>
      <c r="D114" s="47"/>
      <c r="E114" s="47"/>
      <c r="F114" s="47"/>
      <c r="G114" s="47"/>
      <c r="H114" s="47"/>
      <c r="I114" s="47"/>
      <c r="J114" s="47"/>
      <c r="K114" s="16"/>
      <c r="L114" s="16"/>
    </row>
    <row r="115" spans="1:12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3"/>
      <c r="L115" s="13"/>
    </row>
    <row r="116" spans="1:12" ht="12.75">
      <c r="A116" s="18" t="s">
        <v>264</v>
      </c>
      <c r="B116" s="48" t="s">
        <v>266</v>
      </c>
      <c r="C116" s="48" t="s">
        <v>267</v>
      </c>
      <c r="D116" s="18" t="s">
        <v>268</v>
      </c>
      <c r="K116" s="13"/>
      <c r="L116" s="13"/>
    </row>
    <row r="117" spans="1:4" ht="12.75">
      <c r="A117" s="18" t="s">
        <v>265</v>
      </c>
      <c r="B117" s="48"/>
      <c r="C117" s="48"/>
      <c r="D117" s="18" t="s">
        <v>269</v>
      </c>
    </row>
    <row r="118" spans="1:4" ht="38.25">
      <c r="A118" s="19" t="s">
        <v>270</v>
      </c>
      <c r="B118" s="19" t="s">
        <v>271</v>
      </c>
      <c r="C118" s="19"/>
      <c r="D118" s="18">
        <f>D119+D120+D121+D122+D123+D124</f>
        <v>193580.38</v>
      </c>
    </row>
    <row r="119" spans="1:4" ht="38.25">
      <c r="A119" s="19" t="s">
        <v>19</v>
      </c>
      <c r="B119" s="20" t="s">
        <v>272</v>
      </c>
      <c r="C119" s="19"/>
      <c r="D119" s="18"/>
    </row>
    <row r="120" spans="1:4" ht="38.25">
      <c r="A120" s="19" t="s">
        <v>20</v>
      </c>
      <c r="B120" s="20" t="s">
        <v>273</v>
      </c>
      <c r="C120" s="19"/>
      <c r="D120" s="18">
        <f>1548+6578.07+170105.74</f>
        <v>178231.81</v>
      </c>
    </row>
    <row r="121" spans="1:4" ht="38.25">
      <c r="A121" s="21" t="s">
        <v>293</v>
      </c>
      <c r="B121" s="20" t="s">
        <v>274</v>
      </c>
      <c r="C121" s="19"/>
      <c r="D121" s="18"/>
    </row>
    <row r="122" spans="1:4" ht="38.25">
      <c r="A122" s="21" t="s">
        <v>292</v>
      </c>
      <c r="B122" s="20" t="s">
        <v>275</v>
      </c>
      <c r="C122" s="19"/>
      <c r="D122" s="18">
        <f>1783+995.13+943.24+2027.49+1528.45</f>
        <v>7277.3099999999995</v>
      </c>
    </row>
    <row r="123" spans="1:4" ht="38.25">
      <c r="A123" s="21" t="s">
        <v>294</v>
      </c>
      <c r="B123" s="20" t="s">
        <v>276</v>
      </c>
      <c r="C123" s="19"/>
      <c r="D123" s="18">
        <v>6848</v>
      </c>
    </row>
    <row r="124" spans="1:4" ht="25.5">
      <c r="A124" s="21" t="s">
        <v>295</v>
      </c>
      <c r="B124" s="20" t="s">
        <v>277</v>
      </c>
      <c r="C124" s="19"/>
      <c r="D124" s="18">
        <f>866.82+356.44</f>
        <v>1223.26</v>
      </c>
    </row>
    <row r="125" spans="1:4" ht="12.75">
      <c r="A125" s="19" t="s">
        <v>278</v>
      </c>
      <c r="B125" s="19" t="s">
        <v>279</v>
      </c>
      <c r="C125" s="19"/>
      <c r="D125" s="18"/>
    </row>
    <row r="126" spans="1:4" ht="38.25">
      <c r="A126" s="19" t="s">
        <v>280</v>
      </c>
      <c r="B126" s="19" t="s">
        <v>386</v>
      </c>
      <c r="C126" s="19"/>
      <c r="D126" s="18"/>
    </row>
    <row r="127" spans="1:4" ht="12.75">
      <c r="A127" s="19" t="s">
        <v>281</v>
      </c>
      <c r="B127" s="19"/>
      <c r="C127" s="19"/>
      <c r="D127" s="18"/>
    </row>
    <row r="128" spans="1:4" ht="12.75">
      <c r="A128" s="19" t="s">
        <v>282</v>
      </c>
      <c r="B128" s="19"/>
      <c r="C128" s="19"/>
      <c r="D128" s="18"/>
    </row>
    <row r="129" ht="12.75">
      <c r="A129" s="1"/>
    </row>
    <row r="130" ht="12.75">
      <c r="A130" s="1" t="s">
        <v>283</v>
      </c>
    </row>
    <row r="131" spans="1:3" ht="12.75">
      <c r="A131" s="1" t="s">
        <v>284</v>
      </c>
      <c r="C131" t="s">
        <v>291</v>
      </c>
    </row>
    <row r="132" ht="12.75">
      <c r="A132" s="1"/>
    </row>
    <row r="133" ht="12.75">
      <c r="A133" s="1" t="s">
        <v>285</v>
      </c>
    </row>
    <row r="134" ht="12.75">
      <c r="A134" s="1"/>
    </row>
    <row r="135" ht="12.75">
      <c r="A135" s="1" t="s">
        <v>396</v>
      </c>
    </row>
    <row r="136" ht="12.75">
      <c r="A136" s="1" t="s">
        <v>287</v>
      </c>
    </row>
    <row r="137" ht="12.75">
      <c r="A137" s="9"/>
    </row>
    <row r="138" ht="12.75">
      <c r="A138" s="9"/>
    </row>
    <row r="139" spans="1:4" ht="36.75" customHeight="1">
      <c r="A139" s="49" t="s">
        <v>288</v>
      </c>
      <c r="B139" s="49"/>
      <c r="C139" s="49"/>
      <c r="D139" s="49"/>
    </row>
    <row r="140" ht="12.75">
      <c r="A140" s="10"/>
    </row>
    <row r="141" ht="12.75">
      <c r="A141" s="10"/>
    </row>
    <row r="142" ht="12.75">
      <c r="A142" s="10"/>
    </row>
    <row r="143" ht="12.75">
      <c r="A143" s="1" t="s">
        <v>286</v>
      </c>
    </row>
    <row r="144" ht="12.75">
      <c r="A144" s="1" t="s">
        <v>289</v>
      </c>
    </row>
    <row r="145" ht="12.75">
      <c r="A145" s="11"/>
    </row>
    <row r="146" spans="1:12" ht="15.75">
      <c r="A146" s="46" t="s">
        <v>262</v>
      </c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14"/>
    </row>
    <row r="147" spans="1:12" ht="15.75">
      <c r="A147" s="46" t="s">
        <v>291</v>
      </c>
      <c r="B147" s="46"/>
      <c r="C147" s="46"/>
      <c r="D147" s="46"/>
      <c r="E147" s="46"/>
      <c r="F147" s="46"/>
      <c r="G147" s="46"/>
      <c r="H147" s="46"/>
      <c r="I147" s="46"/>
      <c r="J147" s="46"/>
      <c r="K147" s="14"/>
      <c r="L147" s="14"/>
    </row>
    <row r="148" spans="1:12" ht="15.75">
      <c r="A148" s="46" t="s">
        <v>299</v>
      </c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1:12" ht="51.75" customHeight="1">
      <c r="A149" s="47" t="s">
        <v>290</v>
      </c>
      <c r="B149" s="47"/>
      <c r="C149" s="47"/>
      <c r="D149" s="47"/>
      <c r="E149" s="47"/>
      <c r="F149" s="47"/>
      <c r="G149" s="47"/>
      <c r="H149" s="47"/>
      <c r="I149" s="47"/>
      <c r="J149" s="47"/>
      <c r="K149" s="16"/>
      <c r="L149" s="16"/>
    </row>
    <row r="150" spans="1:12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3"/>
      <c r="L150" s="13"/>
    </row>
    <row r="151" spans="1:12" ht="12.75">
      <c r="A151" s="18" t="s">
        <v>264</v>
      </c>
      <c r="B151" s="48" t="s">
        <v>266</v>
      </c>
      <c r="C151" s="48" t="s">
        <v>267</v>
      </c>
      <c r="D151" s="18" t="s">
        <v>268</v>
      </c>
      <c r="K151" s="13"/>
      <c r="L151" s="13"/>
    </row>
    <row r="152" spans="1:4" ht="12.75">
      <c r="A152" s="18" t="s">
        <v>265</v>
      </c>
      <c r="B152" s="48"/>
      <c r="C152" s="48"/>
      <c r="D152" s="18" t="s">
        <v>269</v>
      </c>
    </row>
    <row r="153" spans="1:4" ht="38.25">
      <c r="A153" s="19" t="s">
        <v>270</v>
      </c>
      <c r="B153" s="19" t="s">
        <v>271</v>
      </c>
      <c r="C153" s="19"/>
      <c r="D153" s="18">
        <f>D154+D155+D156+D157+D158+D159</f>
        <v>31510.15</v>
      </c>
    </row>
    <row r="154" spans="1:4" ht="38.25">
      <c r="A154" s="19" t="s">
        <v>19</v>
      </c>
      <c r="B154" s="20" t="s">
        <v>272</v>
      </c>
      <c r="C154" s="19"/>
      <c r="D154" s="18">
        <f>2091.14</f>
        <v>2091.14</v>
      </c>
    </row>
    <row r="155" spans="1:4" ht="38.25">
      <c r="A155" s="19" t="s">
        <v>20</v>
      </c>
      <c r="B155" s="20" t="s">
        <v>273</v>
      </c>
      <c r="C155" s="19"/>
      <c r="D155" s="18">
        <f>11942.41</f>
        <v>11942.41</v>
      </c>
    </row>
    <row r="156" spans="1:4" ht="38.25">
      <c r="A156" s="21" t="s">
        <v>293</v>
      </c>
      <c r="B156" s="20" t="s">
        <v>274</v>
      </c>
      <c r="C156" s="19"/>
      <c r="D156" s="18">
        <f>2459.44+3404.59+3650.21+821.16</f>
        <v>10335.400000000001</v>
      </c>
    </row>
    <row r="157" spans="1:4" ht="38.25">
      <c r="A157" s="21" t="s">
        <v>292</v>
      </c>
      <c r="B157" s="20" t="s">
        <v>275</v>
      </c>
      <c r="C157" s="19"/>
      <c r="D157" s="18">
        <f>2459.44+3404.59+456+821.17</f>
        <v>7141.200000000001</v>
      </c>
    </row>
    <row r="158" spans="1:4" ht="38.25">
      <c r="A158" s="21" t="s">
        <v>294</v>
      </c>
      <c r="B158" s="20" t="s">
        <v>276</v>
      </c>
      <c r="C158" s="19"/>
      <c r="D158" s="18"/>
    </row>
    <row r="159" spans="1:4" ht="25.5">
      <c r="A159" s="21" t="s">
        <v>295</v>
      </c>
      <c r="B159" s="20" t="s">
        <v>277</v>
      </c>
      <c r="C159" s="19"/>
      <c r="D159" s="18"/>
    </row>
    <row r="160" spans="1:4" ht="12.75">
      <c r="A160" s="19" t="s">
        <v>278</v>
      </c>
      <c r="B160" s="19" t="s">
        <v>279</v>
      </c>
      <c r="C160" s="19"/>
      <c r="D160" s="18"/>
    </row>
    <row r="161" spans="1:4" ht="12.75">
      <c r="A161" s="19" t="s">
        <v>280</v>
      </c>
      <c r="B161" s="19"/>
      <c r="C161" s="19"/>
      <c r="D161" s="18"/>
    </row>
    <row r="162" spans="1:4" ht="12.75">
      <c r="A162" s="19" t="s">
        <v>281</v>
      </c>
      <c r="B162" s="19"/>
      <c r="C162" s="19"/>
      <c r="D162" s="18"/>
    </row>
    <row r="163" spans="1:4" ht="12.75">
      <c r="A163" s="19" t="s">
        <v>282</v>
      </c>
      <c r="B163" s="19"/>
      <c r="C163" s="19"/>
      <c r="D163" s="18"/>
    </row>
    <row r="164" ht="12.75">
      <c r="A164" s="1"/>
    </row>
    <row r="165" ht="12.75">
      <c r="A165" s="1" t="s">
        <v>283</v>
      </c>
    </row>
    <row r="166" spans="1:3" ht="12.75">
      <c r="A166" s="1" t="s">
        <v>284</v>
      </c>
      <c r="C166" t="s">
        <v>291</v>
      </c>
    </row>
    <row r="167" ht="12.75">
      <c r="A167" s="1"/>
    </row>
    <row r="168" ht="12.75">
      <c r="A168" s="1" t="s">
        <v>285</v>
      </c>
    </row>
    <row r="169" ht="12.75">
      <c r="A169" s="1"/>
    </row>
    <row r="170" ht="12.75">
      <c r="A170" s="1" t="s">
        <v>396</v>
      </c>
    </row>
    <row r="171" ht="12.75">
      <c r="A171" s="1" t="s">
        <v>287</v>
      </c>
    </row>
    <row r="172" ht="12.75">
      <c r="A172" s="9"/>
    </row>
    <row r="173" ht="12.75">
      <c r="A173" s="9"/>
    </row>
    <row r="174" spans="1:4" ht="33.75" customHeight="1">
      <c r="A174" s="49" t="s">
        <v>288</v>
      </c>
      <c r="B174" s="49"/>
      <c r="C174" s="49"/>
      <c r="D174" s="49"/>
    </row>
    <row r="175" ht="12.75">
      <c r="A175" s="10"/>
    </row>
    <row r="176" ht="12.75">
      <c r="A176" s="10"/>
    </row>
    <row r="177" ht="12.75">
      <c r="A177" s="10"/>
    </row>
    <row r="178" ht="12.75">
      <c r="A178" s="1" t="s">
        <v>286</v>
      </c>
    </row>
    <row r="179" ht="12.75">
      <c r="A179" s="1" t="s">
        <v>289</v>
      </c>
    </row>
    <row r="180" ht="12.75">
      <c r="A180" s="11"/>
    </row>
    <row r="184" spans="1:12" ht="15.75">
      <c r="A184" s="46" t="s">
        <v>262</v>
      </c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14"/>
    </row>
    <row r="185" spans="1:12" ht="15.75">
      <c r="A185" s="46" t="s">
        <v>291</v>
      </c>
      <c r="B185" s="46"/>
      <c r="C185" s="46"/>
      <c r="D185" s="46"/>
      <c r="E185" s="46"/>
      <c r="F185" s="46"/>
      <c r="G185" s="46"/>
      <c r="H185" s="46"/>
      <c r="I185" s="46"/>
      <c r="J185" s="46"/>
      <c r="K185" s="14"/>
      <c r="L185" s="14"/>
    </row>
    <row r="186" spans="1:12" ht="15.75">
      <c r="A186" s="46" t="s">
        <v>300</v>
      </c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ht="52.5" customHeight="1">
      <c r="A187" s="47" t="s">
        <v>290</v>
      </c>
      <c r="B187" s="47"/>
      <c r="C187" s="47"/>
      <c r="D187" s="47"/>
      <c r="E187" s="47"/>
      <c r="F187" s="47"/>
      <c r="G187" s="47"/>
      <c r="H187" s="47"/>
      <c r="I187" s="47"/>
      <c r="J187" s="47"/>
      <c r="K187" s="16"/>
      <c r="L187" s="16"/>
    </row>
    <row r="188" spans="1:12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3"/>
      <c r="L188" s="13"/>
    </row>
    <row r="189" spans="1:12" ht="12.75">
      <c r="A189" s="18" t="s">
        <v>264</v>
      </c>
      <c r="B189" s="48" t="s">
        <v>266</v>
      </c>
      <c r="C189" s="48" t="s">
        <v>267</v>
      </c>
      <c r="D189" s="18" t="s">
        <v>268</v>
      </c>
      <c r="K189" s="13"/>
      <c r="L189" s="13"/>
    </row>
    <row r="190" spans="1:4" ht="12.75">
      <c r="A190" s="18" t="s">
        <v>265</v>
      </c>
      <c r="B190" s="48"/>
      <c r="C190" s="48"/>
      <c r="D190" s="18" t="s">
        <v>269</v>
      </c>
    </row>
    <row r="191" spans="1:4" ht="38.25">
      <c r="A191" s="19" t="s">
        <v>270</v>
      </c>
      <c r="B191" s="19" t="s">
        <v>271</v>
      </c>
      <c r="C191" s="19"/>
      <c r="D191" s="18">
        <f>D192+D193+D194+D195+D196+D197</f>
        <v>10993.93</v>
      </c>
    </row>
    <row r="192" spans="1:4" ht="38.25">
      <c r="A192" s="19" t="s">
        <v>19</v>
      </c>
      <c r="B192" s="20" t="s">
        <v>272</v>
      </c>
      <c r="C192" s="19"/>
      <c r="D192" s="18"/>
    </row>
    <row r="193" spans="1:4" ht="38.25">
      <c r="A193" s="19" t="s">
        <v>20</v>
      </c>
      <c r="B193" s="20" t="s">
        <v>273</v>
      </c>
      <c r="C193" s="19"/>
      <c r="D193" s="18">
        <f>2000.85+6614.34+913.12</f>
        <v>9528.310000000001</v>
      </c>
    </row>
    <row r="194" spans="1:4" ht="38.25">
      <c r="A194" s="21" t="s">
        <v>293</v>
      </c>
      <c r="B194" s="20" t="s">
        <v>274</v>
      </c>
      <c r="C194" s="19"/>
      <c r="D194" s="18">
        <v>458.31</v>
      </c>
    </row>
    <row r="195" spans="1:4" ht="38.25">
      <c r="A195" s="21" t="s">
        <v>292</v>
      </c>
      <c r="B195" s="20" t="s">
        <v>275</v>
      </c>
      <c r="C195" s="19"/>
      <c r="D195" s="18">
        <f>549+458.31</f>
        <v>1007.31</v>
      </c>
    </row>
    <row r="196" spans="1:4" ht="38.25">
      <c r="A196" s="21" t="s">
        <v>294</v>
      </c>
      <c r="B196" s="20" t="s">
        <v>276</v>
      </c>
      <c r="C196" s="19"/>
      <c r="D196" s="18"/>
    </row>
    <row r="197" spans="1:4" ht="25.5">
      <c r="A197" s="21" t="s">
        <v>295</v>
      </c>
      <c r="B197" s="20" t="s">
        <v>277</v>
      </c>
      <c r="C197" s="19"/>
      <c r="D197" s="18"/>
    </row>
    <row r="198" spans="1:4" ht="12.75">
      <c r="A198" s="19" t="s">
        <v>278</v>
      </c>
      <c r="B198" s="19" t="s">
        <v>279</v>
      </c>
      <c r="C198" s="19"/>
      <c r="D198" s="18">
        <f>D199</f>
        <v>0</v>
      </c>
    </row>
    <row r="199" spans="1:4" ht="12.75">
      <c r="A199" s="19" t="s">
        <v>280</v>
      </c>
      <c r="B199" s="19"/>
      <c r="C199" s="19"/>
      <c r="D199" s="18"/>
    </row>
    <row r="200" spans="1:4" ht="12.75">
      <c r="A200" s="19" t="s">
        <v>281</v>
      </c>
      <c r="B200" s="19"/>
      <c r="C200" s="19"/>
      <c r="D200" s="18"/>
    </row>
    <row r="201" spans="1:4" ht="12.75">
      <c r="A201" s="19" t="s">
        <v>282</v>
      </c>
      <c r="B201" s="19"/>
      <c r="C201" s="19"/>
      <c r="D201" s="18"/>
    </row>
    <row r="202" ht="12.75">
      <c r="A202" s="1"/>
    </row>
    <row r="203" ht="12.75">
      <c r="A203" s="1" t="s">
        <v>283</v>
      </c>
    </row>
    <row r="204" spans="1:3" ht="12.75">
      <c r="A204" s="1" t="s">
        <v>284</v>
      </c>
      <c r="C204" t="s">
        <v>291</v>
      </c>
    </row>
    <row r="205" ht="12.75">
      <c r="A205" s="1"/>
    </row>
    <row r="206" ht="12.75">
      <c r="A206" s="1" t="s">
        <v>285</v>
      </c>
    </row>
    <row r="207" ht="12.75">
      <c r="A207" s="1"/>
    </row>
    <row r="208" ht="12.75">
      <c r="A208" s="1" t="s">
        <v>396</v>
      </c>
    </row>
    <row r="209" ht="12.75">
      <c r="A209" s="1" t="s">
        <v>287</v>
      </c>
    </row>
    <row r="210" ht="12.75">
      <c r="A210" s="9"/>
    </row>
    <row r="211" ht="12.75">
      <c r="A211" s="9"/>
    </row>
    <row r="212" spans="1:4" ht="39" customHeight="1">
      <c r="A212" s="49" t="s">
        <v>288</v>
      </c>
      <c r="B212" s="49"/>
      <c r="C212" s="49"/>
      <c r="D212" s="49"/>
    </row>
    <row r="213" ht="12.75">
      <c r="A213" s="10"/>
    </row>
    <row r="214" ht="12.75">
      <c r="A214" s="10"/>
    </row>
    <row r="215" ht="12.75">
      <c r="A215" s="10"/>
    </row>
    <row r="216" ht="12.75">
      <c r="A216" s="1" t="s">
        <v>286</v>
      </c>
    </row>
    <row r="217" ht="12.75">
      <c r="A217" s="1" t="s">
        <v>289</v>
      </c>
    </row>
    <row r="218" ht="12.75">
      <c r="A218" s="11"/>
    </row>
    <row r="221" spans="1:12" ht="15.75">
      <c r="A221" s="46" t="s">
        <v>262</v>
      </c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14"/>
    </row>
    <row r="222" spans="1:12" ht="15.75">
      <c r="A222" s="46" t="s">
        <v>291</v>
      </c>
      <c r="B222" s="46"/>
      <c r="C222" s="46"/>
      <c r="D222" s="46"/>
      <c r="E222" s="46"/>
      <c r="F222" s="46"/>
      <c r="G222" s="46"/>
      <c r="H222" s="46"/>
      <c r="I222" s="46"/>
      <c r="J222" s="46"/>
      <c r="K222" s="14"/>
      <c r="L222" s="14"/>
    </row>
    <row r="223" spans="1:12" ht="15.75">
      <c r="A223" s="46" t="s">
        <v>361</v>
      </c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5.75">
      <c r="A224" s="47" t="s">
        <v>290</v>
      </c>
      <c r="B224" s="47"/>
      <c r="C224" s="47"/>
      <c r="D224" s="47"/>
      <c r="E224" s="47"/>
      <c r="F224" s="47"/>
      <c r="G224" s="47"/>
      <c r="H224" s="47"/>
      <c r="I224" s="47"/>
      <c r="J224" s="47"/>
      <c r="K224" s="16"/>
      <c r="L224" s="16"/>
    </row>
    <row r="225" spans="1:12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3"/>
      <c r="L225" s="13"/>
    </row>
    <row r="226" spans="1:12" ht="12.75">
      <c r="A226" s="18" t="s">
        <v>264</v>
      </c>
      <c r="B226" s="48" t="s">
        <v>266</v>
      </c>
      <c r="C226" s="48" t="s">
        <v>267</v>
      </c>
      <c r="D226" s="18" t="s">
        <v>268</v>
      </c>
      <c r="K226" s="13"/>
      <c r="L226" s="13"/>
    </row>
    <row r="227" spans="1:4" ht="12.75">
      <c r="A227" s="18" t="s">
        <v>265</v>
      </c>
      <c r="B227" s="48"/>
      <c r="C227" s="48"/>
      <c r="D227" s="18" t="s">
        <v>269</v>
      </c>
    </row>
    <row r="228" spans="1:4" ht="38.25">
      <c r="A228" s="19" t="s">
        <v>270</v>
      </c>
      <c r="B228" s="19" t="s">
        <v>271</v>
      </c>
      <c r="C228" s="19"/>
      <c r="D228" s="18">
        <f>D229+D230+D231+D232+D233+D234</f>
        <v>103547.95</v>
      </c>
    </row>
    <row r="229" spans="1:4" ht="38.25">
      <c r="A229" s="19" t="s">
        <v>19</v>
      </c>
      <c r="B229" s="20" t="s">
        <v>272</v>
      </c>
      <c r="C229" s="19"/>
      <c r="D229" s="18">
        <v>16883</v>
      </c>
    </row>
    <row r="230" spans="1:4" ht="38.25">
      <c r="A230" s="19" t="s">
        <v>20</v>
      </c>
      <c r="B230" s="20" t="s">
        <v>273</v>
      </c>
      <c r="C230" s="19"/>
      <c r="D230" s="18">
        <f>28958.2</f>
        <v>28958.2</v>
      </c>
    </row>
    <row r="231" spans="1:4" ht="38.25">
      <c r="A231" s="21" t="s">
        <v>293</v>
      </c>
      <c r="B231" s="20" t="s">
        <v>274</v>
      </c>
      <c r="C231" s="19"/>
      <c r="D231" s="18">
        <f>3831.04</f>
        <v>3831.04</v>
      </c>
    </row>
    <row r="232" spans="1:4" ht="38.25">
      <c r="A232" s="21" t="s">
        <v>292</v>
      </c>
      <c r="B232" s="20" t="s">
        <v>275</v>
      </c>
      <c r="C232" s="19"/>
      <c r="D232" s="18"/>
    </row>
    <row r="233" spans="1:4" ht="38.25">
      <c r="A233" s="21" t="s">
        <v>294</v>
      </c>
      <c r="B233" s="20" t="s">
        <v>276</v>
      </c>
      <c r="C233" s="19"/>
      <c r="D233" s="18">
        <v>2275.71</v>
      </c>
    </row>
    <row r="234" spans="1:4" ht="25.5">
      <c r="A234" s="21" t="s">
        <v>295</v>
      </c>
      <c r="B234" s="20" t="s">
        <v>277</v>
      </c>
      <c r="C234" s="19"/>
      <c r="D234" s="18">
        <f>51600</f>
        <v>51600</v>
      </c>
    </row>
    <row r="235" spans="1:4" ht="12.75">
      <c r="A235" s="19" t="s">
        <v>278</v>
      </c>
      <c r="B235" s="19" t="s">
        <v>279</v>
      </c>
      <c r="C235" s="19"/>
      <c r="D235" s="18"/>
    </row>
    <row r="236" spans="1:4" ht="12.75">
      <c r="A236" s="19" t="s">
        <v>280</v>
      </c>
      <c r="B236" s="19"/>
      <c r="C236" s="19"/>
      <c r="D236" s="18"/>
    </row>
    <row r="237" spans="1:4" ht="12.75">
      <c r="A237" s="19" t="s">
        <v>281</v>
      </c>
      <c r="B237" s="19"/>
      <c r="C237" s="19"/>
      <c r="D237" s="18"/>
    </row>
    <row r="238" spans="1:4" ht="12.75">
      <c r="A238" s="19" t="s">
        <v>282</v>
      </c>
      <c r="B238" s="19"/>
      <c r="C238" s="19"/>
      <c r="D238" s="18"/>
    </row>
    <row r="239" ht="12.75">
      <c r="A239" s="1"/>
    </row>
    <row r="240" ht="12.75">
      <c r="A240" s="1" t="s">
        <v>283</v>
      </c>
    </row>
    <row r="241" spans="1:3" ht="12.75">
      <c r="A241" s="1" t="s">
        <v>284</v>
      </c>
      <c r="C241" t="s">
        <v>291</v>
      </c>
    </row>
    <row r="242" ht="12.75">
      <c r="A242" s="1"/>
    </row>
    <row r="243" ht="12.75">
      <c r="A243" s="1" t="s">
        <v>285</v>
      </c>
    </row>
    <row r="244" ht="12.75">
      <c r="A244" s="1"/>
    </row>
    <row r="245" ht="12.75">
      <c r="A245" s="1" t="s">
        <v>396</v>
      </c>
    </row>
    <row r="246" ht="12.75">
      <c r="A246" s="1" t="s">
        <v>287</v>
      </c>
    </row>
    <row r="247" ht="12.75">
      <c r="A247" s="9"/>
    </row>
    <row r="248" ht="12.75">
      <c r="A248" s="9"/>
    </row>
    <row r="249" spans="1:4" ht="12.75" customHeight="1">
      <c r="A249" s="49" t="s">
        <v>288</v>
      </c>
      <c r="B249" s="49"/>
      <c r="C249" s="49"/>
      <c r="D249" s="49"/>
    </row>
    <row r="250" ht="12.75">
      <c r="A250" s="10"/>
    </row>
    <row r="251" ht="12.75">
      <c r="A251" s="10"/>
    </row>
    <row r="252" ht="12.75">
      <c r="A252" s="10"/>
    </row>
    <row r="253" ht="12.75">
      <c r="A253" s="1" t="s">
        <v>286</v>
      </c>
    </row>
    <row r="254" ht="12.75">
      <c r="A254" s="1" t="s">
        <v>289</v>
      </c>
    </row>
    <row r="255" ht="12.75">
      <c r="A255" s="1"/>
    </row>
    <row r="256" ht="12.75">
      <c r="A256" s="11"/>
    </row>
    <row r="257" ht="12.75">
      <c r="A257" s="11"/>
    </row>
    <row r="260" ht="1.5" customHeight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5" customHeight="1"/>
    <row r="277" spans="1:12" ht="15.75">
      <c r="A277" s="46" t="s">
        <v>262</v>
      </c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14"/>
    </row>
    <row r="278" spans="1:12" ht="15.75">
      <c r="A278" s="46" t="s">
        <v>291</v>
      </c>
      <c r="B278" s="46"/>
      <c r="C278" s="46"/>
      <c r="D278" s="46"/>
      <c r="E278" s="46"/>
      <c r="F278" s="46"/>
      <c r="G278" s="46"/>
      <c r="H278" s="46"/>
      <c r="I278" s="46"/>
      <c r="J278" s="46"/>
      <c r="K278" s="14"/>
      <c r="L278" s="14"/>
    </row>
    <row r="279" spans="1:12" ht="15.75">
      <c r="A279" s="46" t="s">
        <v>301</v>
      </c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52.5" customHeight="1">
      <c r="A280" s="47" t="s">
        <v>290</v>
      </c>
      <c r="B280" s="47"/>
      <c r="C280" s="47"/>
      <c r="D280" s="47"/>
      <c r="E280" s="47"/>
      <c r="F280" s="47"/>
      <c r="G280" s="47"/>
      <c r="H280" s="47"/>
      <c r="I280" s="47"/>
      <c r="J280" s="47"/>
      <c r="K280" s="16"/>
      <c r="L280" s="16"/>
    </row>
    <row r="281" spans="1:12" ht="12.7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3"/>
      <c r="L281" s="13"/>
    </row>
    <row r="282" spans="1:12" ht="12.75">
      <c r="A282" s="18" t="s">
        <v>264</v>
      </c>
      <c r="B282" s="48" t="s">
        <v>266</v>
      </c>
      <c r="C282" s="48" t="s">
        <v>267</v>
      </c>
      <c r="D282" s="18" t="s">
        <v>268</v>
      </c>
      <c r="K282" s="13"/>
      <c r="L282" s="13"/>
    </row>
    <row r="283" spans="1:4" ht="12.75">
      <c r="A283" s="18" t="s">
        <v>265</v>
      </c>
      <c r="B283" s="48"/>
      <c r="C283" s="48"/>
      <c r="D283" s="18" t="s">
        <v>269</v>
      </c>
    </row>
    <row r="284" spans="1:4" ht="38.25">
      <c r="A284" s="19" t="s">
        <v>270</v>
      </c>
      <c r="B284" s="19" t="s">
        <v>271</v>
      </c>
      <c r="C284" s="19"/>
      <c r="D284" s="18">
        <f>D285+D286+D287+D288+D289+D290</f>
        <v>175920.73</v>
      </c>
    </row>
    <row r="285" spans="1:4" ht="38.25">
      <c r="A285" s="19" t="s">
        <v>19</v>
      </c>
      <c r="B285" s="20" t="s">
        <v>272</v>
      </c>
      <c r="C285" s="19"/>
      <c r="D285" s="18">
        <v>4540</v>
      </c>
    </row>
    <row r="286" spans="1:4" ht="38.25">
      <c r="A286" s="19" t="s">
        <v>20</v>
      </c>
      <c r="B286" s="20" t="s">
        <v>273</v>
      </c>
      <c r="C286" s="19"/>
      <c r="D286" s="18">
        <f>325.16+163726.82+5328.75</f>
        <v>169380.73</v>
      </c>
    </row>
    <row r="287" spans="1:4" ht="38.25">
      <c r="A287" s="21" t="s">
        <v>293</v>
      </c>
      <c r="B287" s="20" t="s">
        <v>274</v>
      </c>
      <c r="C287" s="19"/>
      <c r="D287" s="18"/>
    </row>
    <row r="288" spans="1:4" ht="38.25">
      <c r="A288" s="21" t="s">
        <v>292</v>
      </c>
      <c r="B288" s="20" t="s">
        <v>275</v>
      </c>
      <c r="C288" s="19"/>
      <c r="D288" s="18">
        <v>2000</v>
      </c>
    </row>
    <row r="289" spans="1:4" ht="38.25">
      <c r="A289" s="21" t="s">
        <v>294</v>
      </c>
      <c r="B289" s="20" t="s">
        <v>276</v>
      </c>
      <c r="C289" s="19"/>
      <c r="D289" s="18"/>
    </row>
    <row r="290" spans="1:4" ht="25.5">
      <c r="A290" s="21" t="s">
        <v>295</v>
      </c>
      <c r="B290" s="20" t="s">
        <v>277</v>
      </c>
      <c r="C290" s="19"/>
      <c r="D290" s="18"/>
    </row>
    <row r="291" spans="1:4" ht="12.75">
      <c r="A291" s="19" t="s">
        <v>278</v>
      </c>
      <c r="B291" s="19" t="s">
        <v>279</v>
      </c>
      <c r="C291" s="19"/>
      <c r="D291" s="18">
        <f>D292</f>
        <v>0</v>
      </c>
    </row>
    <row r="292" spans="1:4" ht="12.75">
      <c r="A292" s="19" t="s">
        <v>280</v>
      </c>
      <c r="B292" s="19"/>
      <c r="C292" s="19"/>
      <c r="D292" s="18"/>
    </row>
    <row r="293" spans="1:4" ht="12.75">
      <c r="A293" s="19" t="s">
        <v>281</v>
      </c>
      <c r="B293" s="19"/>
      <c r="C293" s="19"/>
      <c r="D293" s="18"/>
    </row>
    <row r="294" spans="1:4" ht="12.75">
      <c r="A294" s="19" t="s">
        <v>282</v>
      </c>
      <c r="B294" s="19"/>
      <c r="C294" s="19"/>
      <c r="D294" s="18"/>
    </row>
    <row r="295" ht="12.75">
      <c r="A295" s="1"/>
    </row>
    <row r="296" ht="12.75">
      <c r="A296" s="1" t="s">
        <v>283</v>
      </c>
    </row>
    <row r="297" spans="1:3" ht="12.75">
      <c r="A297" s="1" t="s">
        <v>284</v>
      </c>
      <c r="C297" t="s">
        <v>291</v>
      </c>
    </row>
    <row r="298" ht="12.75">
      <c r="A298" s="1"/>
    </row>
    <row r="299" ht="12.75">
      <c r="A299" s="1" t="s">
        <v>285</v>
      </c>
    </row>
    <row r="300" ht="12.75">
      <c r="A300" s="1"/>
    </row>
    <row r="301" ht="12.75">
      <c r="A301" s="1" t="s">
        <v>396</v>
      </c>
    </row>
    <row r="302" ht="12.75">
      <c r="A302" s="1" t="s">
        <v>287</v>
      </c>
    </row>
    <row r="303" ht="12.75">
      <c r="A303" s="9"/>
    </row>
    <row r="304" ht="12.75">
      <c r="A304" s="9"/>
    </row>
    <row r="305" spans="1:4" ht="42.75" customHeight="1">
      <c r="A305" s="49" t="s">
        <v>288</v>
      </c>
      <c r="B305" s="49"/>
      <c r="C305" s="49"/>
      <c r="D305" s="49"/>
    </row>
    <row r="306" ht="12.75">
      <c r="A306" s="10"/>
    </row>
    <row r="307" ht="12.75">
      <c r="A307" s="10"/>
    </row>
    <row r="308" ht="12.75">
      <c r="A308" s="10"/>
    </row>
    <row r="309" ht="12.75">
      <c r="A309" s="1" t="s">
        <v>286</v>
      </c>
    </row>
    <row r="310" ht="12.75">
      <c r="A310" s="1" t="s">
        <v>289</v>
      </c>
    </row>
    <row r="311" ht="12.75">
      <c r="A311" s="11"/>
    </row>
    <row r="314" spans="1:12" ht="15.75">
      <c r="A314" s="46" t="s">
        <v>262</v>
      </c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14"/>
    </row>
    <row r="315" spans="1:12" ht="15.75">
      <c r="A315" s="46" t="s">
        <v>291</v>
      </c>
      <c r="B315" s="46"/>
      <c r="C315" s="46"/>
      <c r="D315" s="46"/>
      <c r="E315" s="46"/>
      <c r="F315" s="46"/>
      <c r="G315" s="46"/>
      <c r="H315" s="46"/>
      <c r="I315" s="46"/>
      <c r="J315" s="46"/>
      <c r="K315" s="14"/>
      <c r="L315" s="14"/>
    </row>
    <row r="316" spans="1:12" ht="15.75">
      <c r="A316" s="46" t="s">
        <v>363</v>
      </c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1:12" ht="53.25" customHeight="1">
      <c r="A317" s="47" t="s">
        <v>290</v>
      </c>
      <c r="B317" s="47"/>
      <c r="C317" s="47"/>
      <c r="D317" s="47"/>
      <c r="E317" s="47"/>
      <c r="F317" s="47"/>
      <c r="G317" s="47"/>
      <c r="H317" s="47"/>
      <c r="I317" s="47"/>
      <c r="J317" s="47"/>
      <c r="K317" s="16"/>
      <c r="L317" s="16"/>
    </row>
    <row r="318" spans="1:12" ht="12.7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3"/>
      <c r="L318" s="13"/>
    </row>
    <row r="319" spans="1:12" ht="12.75">
      <c r="A319" s="18" t="s">
        <v>264</v>
      </c>
      <c r="B319" s="48" t="s">
        <v>266</v>
      </c>
      <c r="C319" s="48" t="s">
        <v>267</v>
      </c>
      <c r="D319" s="18" t="s">
        <v>268</v>
      </c>
      <c r="K319" s="13"/>
      <c r="L319" s="13"/>
    </row>
    <row r="320" spans="1:4" ht="12.75">
      <c r="A320" s="18" t="s">
        <v>265</v>
      </c>
      <c r="B320" s="48"/>
      <c r="C320" s="48"/>
      <c r="D320" s="18" t="s">
        <v>269</v>
      </c>
    </row>
    <row r="321" spans="1:4" ht="38.25">
      <c r="A321" s="19" t="s">
        <v>270</v>
      </c>
      <c r="B321" s="19" t="s">
        <v>271</v>
      </c>
      <c r="C321" s="19"/>
      <c r="D321" s="18">
        <f>D322+D323+D324+D325+D326+D327</f>
        <v>182677.5</v>
      </c>
    </row>
    <row r="322" spans="1:4" ht="38.25">
      <c r="A322" s="19" t="s">
        <v>19</v>
      </c>
      <c r="B322" s="20" t="s">
        <v>272</v>
      </c>
      <c r="C322" s="19"/>
      <c r="D322" s="18">
        <v>2584.87</v>
      </c>
    </row>
    <row r="323" spans="1:4" ht="38.25">
      <c r="A323" s="19" t="s">
        <v>20</v>
      </c>
      <c r="B323" s="20" t="s">
        <v>273</v>
      </c>
      <c r="C323" s="19"/>
      <c r="D323" s="18">
        <f>155642.1</f>
        <v>155642.1</v>
      </c>
    </row>
    <row r="324" spans="1:4" ht="38.25">
      <c r="A324" s="21" t="s">
        <v>293</v>
      </c>
      <c r="B324" s="20" t="s">
        <v>274</v>
      </c>
      <c r="C324" s="19"/>
      <c r="D324" s="18">
        <v>401.49</v>
      </c>
    </row>
    <row r="325" spans="1:4" ht="38.25">
      <c r="A325" s="21" t="s">
        <v>292</v>
      </c>
      <c r="B325" s="20" t="s">
        <v>275</v>
      </c>
      <c r="C325" s="19"/>
      <c r="D325" s="18">
        <f>23647.55+401.49</f>
        <v>24049.04</v>
      </c>
    </row>
    <row r="326" spans="1:4" ht="38.25">
      <c r="A326" s="21" t="s">
        <v>294</v>
      </c>
      <c r="B326" s="20" t="s">
        <v>276</v>
      </c>
      <c r="C326" s="19"/>
      <c r="D326" s="18"/>
    </row>
    <row r="327" spans="1:4" ht="25.5">
      <c r="A327" s="21" t="s">
        <v>295</v>
      </c>
      <c r="B327" s="20" t="s">
        <v>277</v>
      </c>
      <c r="C327" s="19"/>
      <c r="D327" s="18"/>
    </row>
    <row r="328" spans="1:4" ht="12.75">
      <c r="A328" s="19" t="s">
        <v>278</v>
      </c>
      <c r="B328" s="19" t="s">
        <v>279</v>
      </c>
      <c r="C328" s="19"/>
      <c r="D328" s="18">
        <f>D329</f>
        <v>0</v>
      </c>
    </row>
    <row r="329" spans="1:4" ht="12.75">
      <c r="A329" s="19" t="s">
        <v>280</v>
      </c>
      <c r="B329" s="19"/>
      <c r="C329" s="19"/>
      <c r="D329" s="18"/>
    </row>
    <row r="330" spans="1:4" ht="12.75">
      <c r="A330" s="19" t="s">
        <v>281</v>
      </c>
      <c r="B330" s="19"/>
      <c r="C330" s="19"/>
      <c r="D330" s="18"/>
    </row>
    <row r="331" spans="1:4" ht="12.75">
      <c r="A331" s="19" t="s">
        <v>282</v>
      </c>
      <c r="B331" s="19"/>
      <c r="C331" s="19"/>
      <c r="D331" s="18"/>
    </row>
    <row r="332" ht="12.75">
      <c r="A332" s="1"/>
    </row>
    <row r="333" ht="12.75">
      <c r="A333" s="1" t="s">
        <v>283</v>
      </c>
    </row>
    <row r="334" spans="1:3" ht="12.75">
      <c r="A334" s="1" t="s">
        <v>284</v>
      </c>
      <c r="C334" t="s">
        <v>291</v>
      </c>
    </row>
    <row r="335" ht="12.75">
      <c r="A335" s="1"/>
    </row>
    <row r="336" ht="12.75">
      <c r="A336" s="1" t="s">
        <v>285</v>
      </c>
    </row>
    <row r="337" ht="12.75">
      <c r="A337" s="1"/>
    </row>
    <row r="338" ht="12.75">
      <c r="A338" s="1" t="s">
        <v>396</v>
      </c>
    </row>
    <row r="339" ht="12.75">
      <c r="A339" s="1" t="s">
        <v>287</v>
      </c>
    </row>
    <row r="340" ht="12.75">
      <c r="A340" s="9"/>
    </row>
    <row r="341" ht="12.75">
      <c r="A341" s="9"/>
    </row>
    <row r="342" spans="1:4" ht="39.75" customHeight="1">
      <c r="A342" s="49" t="s">
        <v>288</v>
      </c>
      <c r="B342" s="49"/>
      <c r="C342" s="49"/>
      <c r="D342" s="49"/>
    </row>
    <row r="343" ht="12.75">
      <c r="A343" s="10"/>
    </row>
    <row r="344" ht="12.75">
      <c r="A344" s="10"/>
    </row>
    <row r="345" ht="12.75">
      <c r="A345" s="10"/>
    </row>
    <row r="346" ht="12.75">
      <c r="A346" s="1" t="s">
        <v>286</v>
      </c>
    </row>
    <row r="347" ht="12.75">
      <c r="A347" s="1" t="s">
        <v>289</v>
      </c>
    </row>
    <row r="348" ht="12.75">
      <c r="A348" s="11"/>
    </row>
    <row r="349" ht="28.5" customHeight="1"/>
    <row r="350" ht="12.75" hidden="1"/>
    <row r="351" spans="1:12" ht="15.75">
      <c r="A351" s="46" t="s">
        <v>262</v>
      </c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14"/>
    </row>
    <row r="352" spans="1:12" ht="15.75">
      <c r="A352" s="46" t="s">
        <v>291</v>
      </c>
      <c r="B352" s="46"/>
      <c r="C352" s="46"/>
      <c r="D352" s="46"/>
      <c r="E352" s="46"/>
      <c r="F352" s="46"/>
      <c r="G352" s="46"/>
      <c r="H352" s="46"/>
      <c r="I352" s="46"/>
      <c r="J352" s="46"/>
      <c r="K352" s="14"/>
      <c r="L352" s="14"/>
    </row>
    <row r="353" spans="1:12" ht="15.75">
      <c r="A353" s="46" t="s">
        <v>302</v>
      </c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</row>
    <row r="354" spans="1:12" ht="52.5" customHeight="1">
      <c r="A354" s="47" t="s">
        <v>290</v>
      </c>
      <c r="B354" s="47"/>
      <c r="C354" s="47"/>
      <c r="D354" s="47"/>
      <c r="E354" s="47"/>
      <c r="F354" s="47"/>
      <c r="G354" s="47"/>
      <c r="H354" s="47"/>
      <c r="I354" s="47"/>
      <c r="J354" s="47"/>
      <c r="K354" s="16"/>
      <c r="L354" s="16"/>
    </row>
    <row r="355" spans="1:12" ht="12.7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3"/>
      <c r="L355" s="13"/>
    </row>
    <row r="356" spans="1:12" ht="12.75">
      <c r="A356" s="18" t="s">
        <v>264</v>
      </c>
      <c r="B356" s="48" t="s">
        <v>266</v>
      </c>
      <c r="C356" s="48" t="s">
        <v>267</v>
      </c>
      <c r="D356" s="18" t="s">
        <v>268</v>
      </c>
      <c r="K356" s="13"/>
      <c r="L356" s="13"/>
    </row>
    <row r="357" spans="1:4" ht="12.75">
      <c r="A357" s="18" t="s">
        <v>265</v>
      </c>
      <c r="B357" s="48"/>
      <c r="C357" s="48"/>
      <c r="D357" s="18" t="s">
        <v>269</v>
      </c>
    </row>
    <row r="358" spans="1:4" ht="38.25">
      <c r="A358" s="19" t="s">
        <v>270</v>
      </c>
      <c r="B358" s="19" t="s">
        <v>271</v>
      </c>
      <c r="C358" s="19"/>
      <c r="D358" s="18">
        <f>D359+D360+D361+D362+D363+D364</f>
        <v>36345.47</v>
      </c>
    </row>
    <row r="359" spans="1:4" ht="38.25">
      <c r="A359" s="19" t="s">
        <v>19</v>
      </c>
      <c r="B359" s="20" t="s">
        <v>272</v>
      </c>
      <c r="C359" s="19"/>
      <c r="D359" s="18">
        <f>6600+18524</f>
        <v>25124</v>
      </c>
    </row>
    <row r="360" spans="1:4" ht="38.25">
      <c r="A360" s="19" t="s">
        <v>20</v>
      </c>
      <c r="B360" s="20" t="s">
        <v>273</v>
      </c>
      <c r="C360" s="19"/>
      <c r="D360" s="18">
        <f>8789.8</f>
        <v>8789.8</v>
      </c>
    </row>
    <row r="361" spans="1:4" ht="38.25">
      <c r="A361" s="21" t="s">
        <v>293</v>
      </c>
      <c r="B361" s="20" t="s">
        <v>274</v>
      </c>
      <c r="C361" s="19"/>
      <c r="D361" s="18">
        <f>685.23+445.72</f>
        <v>1130.95</v>
      </c>
    </row>
    <row r="362" spans="1:4" ht="38.25">
      <c r="A362" s="21" t="s">
        <v>292</v>
      </c>
      <c r="B362" s="20" t="s">
        <v>275</v>
      </c>
      <c r="C362" s="19"/>
      <c r="D362" s="18">
        <v>445.72</v>
      </c>
    </row>
    <row r="363" spans="1:4" ht="38.25">
      <c r="A363" s="21" t="s">
        <v>294</v>
      </c>
      <c r="B363" s="20" t="s">
        <v>276</v>
      </c>
      <c r="C363" s="19"/>
      <c r="D363" s="18">
        <v>855</v>
      </c>
    </row>
    <row r="364" spans="1:4" ht="25.5">
      <c r="A364" s="21" t="s">
        <v>295</v>
      </c>
      <c r="B364" s="20" t="s">
        <v>277</v>
      </c>
      <c r="C364" s="19"/>
      <c r="D364" s="18"/>
    </row>
    <row r="365" spans="1:4" ht="12.75">
      <c r="A365" s="19" t="s">
        <v>278</v>
      </c>
      <c r="B365" s="19" t="s">
        <v>279</v>
      </c>
      <c r="C365" s="19"/>
      <c r="D365" s="18">
        <f>D366+D367</f>
        <v>0</v>
      </c>
    </row>
    <row r="366" spans="1:4" ht="25.5">
      <c r="A366" s="19" t="s">
        <v>280</v>
      </c>
      <c r="B366" s="20" t="s">
        <v>403</v>
      </c>
      <c r="C366" s="19"/>
      <c r="D366" s="18"/>
    </row>
    <row r="367" spans="1:4" ht="12.75">
      <c r="A367" s="19" t="s">
        <v>281</v>
      </c>
      <c r="B367" s="19"/>
      <c r="C367" s="19"/>
      <c r="D367" s="18"/>
    </row>
    <row r="368" spans="1:4" ht="12.75">
      <c r="A368" s="19" t="s">
        <v>282</v>
      </c>
      <c r="B368" s="19"/>
      <c r="C368" s="19"/>
      <c r="D368" s="18"/>
    </row>
    <row r="369" ht="12.75">
      <c r="A369" s="1"/>
    </row>
    <row r="370" ht="12.75">
      <c r="A370" s="1" t="s">
        <v>283</v>
      </c>
    </row>
    <row r="371" spans="1:3" ht="12.75">
      <c r="A371" s="1" t="s">
        <v>284</v>
      </c>
      <c r="C371" t="s">
        <v>291</v>
      </c>
    </row>
    <row r="372" ht="12.75">
      <c r="A372" s="1"/>
    </row>
    <row r="373" ht="12.75">
      <c r="A373" s="1" t="s">
        <v>285</v>
      </c>
    </row>
    <row r="374" ht="12.75">
      <c r="A374" s="1"/>
    </row>
    <row r="375" ht="12.75">
      <c r="A375" s="1" t="s">
        <v>396</v>
      </c>
    </row>
    <row r="376" ht="12.75">
      <c r="A376" s="1" t="s">
        <v>287</v>
      </c>
    </row>
    <row r="377" ht="12.75">
      <c r="A377" s="9"/>
    </row>
    <row r="378" ht="12.75">
      <c r="A378" s="9"/>
    </row>
    <row r="379" spans="1:4" ht="36.75" customHeight="1">
      <c r="A379" s="49" t="s">
        <v>288</v>
      </c>
      <c r="B379" s="49"/>
      <c r="C379" s="49"/>
      <c r="D379" s="49"/>
    </row>
    <row r="380" ht="12.75">
      <c r="A380" s="10"/>
    </row>
    <row r="381" ht="12.75">
      <c r="A381" s="10"/>
    </row>
    <row r="382" ht="12.75">
      <c r="A382" s="10"/>
    </row>
    <row r="383" ht="12.75">
      <c r="A383" s="1" t="s">
        <v>286</v>
      </c>
    </row>
    <row r="384" ht="12.75">
      <c r="A384" s="1" t="s">
        <v>289</v>
      </c>
    </row>
    <row r="385" ht="12.75">
      <c r="A385" s="11"/>
    </row>
    <row r="386" ht="12.75" hidden="1"/>
    <row r="387" ht="14.25" customHeight="1"/>
    <row r="388" spans="1:12" ht="15.75">
      <c r="A388" s="46" t="s">
        <v>262</v>
      </c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14"/>
    </row>
    <row r="389" spans="1:12" ht="15.75">
      <c r="A389" s="46" t="s">
        <v>291</v>
      </c>
      <c r="B389" s="46"/>
      <c r="C389" s="46"/>
      <c r="D389" s="46"/>
      <c r="E389" s="46"/>
      <c r="F389" s="46"/>
      <c r="G389" s="46"/>
      <c r="H389" s="46"/>
      <c r="I389" s="46"/>
      <c r="J389" s="46"/>
      <c r="K389" s="14"/>
      <c r="L389" s="14"/>
    </row>
    <row r="390" spans="1:12" ht="15.75">
      <c r="A390" s="46" t="s">
        <v>303</v>
      </c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</row>
    <row r="391" spans="1:12" ht="49.5" customHeight="1">
      <c r="A391" s="47" t="s">
        <v>290</v>
      </c>
      <c r="B391" s="47"/>
      <c r="C391" s="47"/>
      <c r="D391" s="47"/>
      <c r="E391" s="47"/>
      <c r="F391" s="47"/>
      <c r="G391" s="47"/>
      <c r="H391" s="47"/>
      <c r="I391" s="47"/>
      <c r="J391" s="47"/>
      <c r="K391" s="16"/>
      <c r="L391" s="16"/>
    </row>
    <row r="392" spans="1:12" ht="12.7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3"/>
      <c r="L392" s="13"/>
    </row>
    <row r="393" spans="1:12" ht="12.75">
      <c r="A393" s="18" t="s">
        <v>264</v>
      </c>
      <c r="B393" s="48" t="s">
        <v>266</v>
      </c>
      <c r="C393" s="48" t="s">
        <v>267</v>
      </c>
      <c r="D393" s="18" t="s">
        <v>268</v>
      </c>
      <c r="K393" s="13"/>
      <c r="L393" s="13"/>
    </row>
    <row r="394" spans="1:4" ht="12.75">
      <c r="A394" s="18" t="s">
        <v>265</v>
      </c>
      <c r="B394" s="48"/>
      <c r="C394" s="48"/>
      <c r="D394" s="18" t="s">
        <v>269</v>
      </c>
    </row>
    <row r="395" spans="1:4" ht="38.25">
      <c r="A395" s="19" t="s">
        <v>270</v>
      </c>
      <c r="B395" s="19" t="s">
        <v>271</v>
      </c>
      <c r="C395" s="19"/>
      <c r="D395" s="18">
        <f>D396+D397+D398+D399+D400+D401+D402</f>
        <v>204899.06</v>
      </c>
    </row>
    <row r="396" spans="1:4" ht="38.25">
      <c r="A396" s="19" t="s">
        <v>19</v>
      </c>
      <c r="B396" s="20" t="s">
        <v>272</v>
      </c>
      <c r="C396" s="19"/>
      <c r="D396" s="18">
        <v>1155.03</v>
      </c>
    </row>
    <row r="397" spans="1:4" ht="38.25">
      <c r="A397" s="19" t="s">
        <v>20</v>
      </c>
      <c r="B397" s="20" t="s">
        <v>273</v>
      </c>
      <c r="C397" s="19"/>
      <c r="D397" s="18">
        <f>37645.07+166098.96</f>
        <v>203744.03</v>
      </c>
    </row>
    <row r="398" spans="1:4" ht="38.25">
      <c r="A398" s="21" t="s">
        <v>293</v>
      </c>
      <c r="B398" s="20" t="s">
        <v>274</v>
      </c>
      <c r="C398" s="19"/>
      <c r="D398" s="18"/>
    </row>
    <row r="399" spans="1:4" ht="38.25">
      <c r="A399" s="21" t="s">
        <v>292</v>
      </c>
      <c r="B399" s="20" t="s">
        <v>275</v>
      </c>
      <c r="C399" s="19"/>
      <c r="D399" s="18"/>
    </row>
    <row r="400" spans="1:4" ht="38.25">
      <c r="A400" s="21" t="s">
        <v>294</v>
      </c>
      <c r="B400" s="20" t="s">
        <v>276</v>
      </c>
      <c r="C400" s="19"/>
      <c r="D400" s="18"/>
    </row>
    <row r="401" spans="1:4" ht="25.5">
      <c r="A401" s="21" t="s">
        <v>295</v>
      </c>
      <c r="B401" s="20" t="s">
        <v>277</v>
      </c>
      <c r="C401" s="19"/>
      <c r="D401" s="18"/>
    </row>
    <row r="402" spans="1:4" ht="51">
      <c r="A402" s="21" t="s">
        <v>412</v>
      </c>
      <c r="B402" s="20" t="s">
        <v>413</v>
      </c>
      <c r="C402" s="19"/>
      <c r="D402" s="18"/>
    </row>
    <row r="403" spans="1:4" ht="12.75">
      <c r="A403" s="19" t="s">
        <v>278</v>
      </c>
      <c r="B403" s="19" t="s">
        <v>279</v>
      </c>
      <c r="C403" s="19"/>
      <c r="D403" s="25"/>
    </row>
    <row r="404" spans="1:4" ht="12.75">
      <c r="A404" s="19" t="s">
        <v>280</v>
      </c>
      <c r="B404" s="19"/>
      <c r="C404" s="19"/>
      <c r="D404" s="25"/>
    </row>
    <row r="405" spans="1:4" ht="12.75">
      <c r="A405" s="19" t="s">
        <v>281</v>
      </c>
      <c r="B405" s="19"/>
      <c r="C405" s="19"/>
      <c r="D405" s="25"/>
    </row>
    <row r="406" spans="1:4" ht="12.75">
      <c r="A406" s="19" t="s">
        <v>282</v>
      </c>
      <c r="B406" s="19"/>
      <c r="C406" s="19"/>
      <c r="D406" s="18"/>
    </row>
    <row r="407" ht="12.75">
      <c r="A407" s="1"/>
    </row>
    <row r="408" ht="12.75">
      <c r="A408" s="1" t="s">
        <v>283</v>
      </c>
    </row>
    <row r="409" spans="1:3" ht="12.75">
      <c r="A409" s="1" t="s">
        <v>284</v>
      </c>
      <c r="C409" t="s">
        <v>291</v>
      </c>
    </row>
    <row r="410" ht="12.75">
      <c r="A410" s="1"/>
    </row>
    <row r="411" ht="12.75">
      <c r="A411" s="1" t="s">
        <v>285</v>
      </c>
    </row>
    <row r="412" ht="12.75">
      <c r="A412" s="1"/>
    </row>
    <row r="413" ht="12.75">
      <c r="A413" s="1" t="s">
        <v>396</v>
      </c>
    </row>
    <row r="414" ht="12.75">
      <c r="A414" s="1" t="s">
        <v>287</v>
      </c>
    </row>
    <row r="415" ht="12.75">
      <c r="A415" s="9"/>
    </row>
    <row r="416" ht="12.75">
      <c r="A416" s="9"/>
    </row>
    <row r="417" spans="1:4" ht="42" customHeight="1">
      <c r="A417" s="49" t="s">
        <v>288</v>
      </c>
      <c r="B417" s="49"/>
      <c r="C417" s="49"/>
      <c r="D417" s="49"/>
    </row>
    <row r="418" ht="12.75">
      <c r="A418" s="10"/>
    </row>
    <row r="419" ht="2.25" customHeight="1">
      <c r="A419" s="10"/>
    </row>
    <row r="420" ht="12.75">
      <c r="A420" s="10"/>
    </row>
    <row r="421" ht="12.75">
      <c r="A421" s="1" t="s">
        <v>286</v>
      </c>
    </row>
    <row r="422" ht="12.75">
      <c r="A422" s="1" t="s">
        <v>289</v>
      </c>
    </row>
    <row r="423" ht="12.75">
      <c r="A423" s="11"/>
    </row>
    <row r="424" ht="0.75" customHeight="1"/>
    <row r="425" ht="12.75" hidden="1"/>
    <row r="426" spans="1:12" ht="15.75">
      <c r="A426" s="46" t="s">
        <v>262</v>
      </c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14"/>
    </row>
    <row r="427" spans="1:12" ht="15.75">
      <c r="A427" s="46" t="s">
        <v>291</v>
      </c>
      <c r="B427" s="46"/>
      <c r="C427" s="46"/>
      <c r="D427" s="46"/>
      <c r="E427" s="46"/>
      <c r="F427" s="46"/>
      <c r="G427" s="46"/>
      <c r="H427" s="46"/>
      <c r="I427" s="46"/>
      <c r="J427" s="46"/>
      <c r="K427" s="14"/>
      <c r="L427" s="14"/>
    </row>
    <row r="428" spans="1:12" ht="15.75">
      <c r="A428" s="46" t="s">
        <v>304</v>
      </c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</row>
    <row r="429" spans="1:12" ht="54.75" customHeight="1">
      <c r="A429" s="47" t="s">
        <v>290</v>
      </c>
      <c r="B429" s="47"/>
      <c r="C429" s="47"/>
      <c r="D429" s="47"/>
      <c r="E429" s="47"/>
      <c r="F429" s="47"/>
      <c r="G429" s="47"/>
      <c r="H429" s="47"/>
      <c r="I429" s="47"/>
      <c r="J429" s="47"/>
      <c r="K429" s="16"/>
      <c r="L429" s="16"/>
    </row>
    <row r="430" spans="1:12" ht="12.7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3"/>
      <c r="L430" s="13"/>
    </row>
    <row r="431" spans="1:12" ht="12.75">
      <c r="A431" s="18" t="s">
        <v>264</v>
      </c>
      <c r="B431" s="48" t="s">
        <v>266</v>
      </c>
      <c r="C431" s="48" t="s">
        <v>267</v>
      </c>
      <c r="D431" s="18" t="s">
        <v>268</v>
      </c>
      <c r="K431" s="13"/>
      <c r="L431" s="13"/>
    </row>
    <row r="432" spans="1:4" ht="12.75">
      <c r="A432" s="18" t="s">
        <v>265</v>
      </c>
      <c r="B432" s="48"/>
      <c r="C432" s="48"/>
      <c r="D432" s="18" t="s">
        <v>269</v>
      </c>
    </row>
    <row r="433" spans="1:4" ht="38.25">
      <c r="A433" s="19" t="s">
        <v>270</v>
      </c>
      <c r="B433" s="19" t="s">
        <v>271</v>
      </c>
      <c r="C433" s="19"/>
      <c r="D433" s="18">
        <f>D434+D435+D436+D437+D438+D439</f>
        <v>34975.24</v>
      </c>
    </row>
    <row r="434" spans="1:4" ht="38.25">
      <c r="A434" s="19" t="s">
        <v>19</v>
      </c>
      <c r="B434" s="20" t="s">
        <v>272</v>
      </c>
      <c r="C434" s="19"/>
      <c r="D434" s="18">
        <f>338+3736.73</f>
        <v>4074.73</v>
      </c>
    </row>
    <row r="435" spans="1:4" ht="38.25">
      <c r="A435" s="19" t="s">
        <v>20</v>
      </c>
      <c r="B435" s="20" t="s">
        <v>273</v>
      </c>
      <c r="C435" s="19"/>
      <c r="D435" s="18">
        <f>16146.67+988.02</f>
        <v>17134.69</v>
      </c>
    </row>
    <row r="436" spans="1:4" ht="38.25">
      <c r="A436" s="21" t="s">
        <v>293</v>
      </c>
      <c r="B436" s="20" t="s">
        <v>274</v>
      </c>
      <c r="C436" s="19"/>
      <c r="D436" s="18"/>
    </row>
    <row r="437" spans="1:4" ht="38.25">
      <c r="A437" s="21" t="s">
        <v>292</v>
      </c>
      <c r="B437" s="20" t="s">
        <v>275</v>
      </c>
      <c r="C437" s="19"/>
      <c r="D437" s="18"/>
    </row>
    <row r="438" spans="1:4" ht="38.25">
      <c r="A438" s="21" t="s">
        <v>294</v>
      </c>
      <c r="B438" s="20" t="s">
        <v>276</v>
      </c>
      <c r="C438" s="19"/>
      <c r="D438" s="18">
        <f>8532.77+5027.79</f>
        <v>13560.560000000001</v>
      </c>
    </row>
    <row r="439" spans="1:4" ht="25.5">
      <c r="A439" s="21" t="s">
        <v>295</v>
      </c>
      <c r="B439" s="20" t="s">
        <v>277</v>
      </c>
      <c r="C439" s="19"/>
      <c r="D439" s="18">
        <v>205.26</v>
      </c>
    </row>
    <row r="440" spans="1:4" ht="12.75">
      <c r="A440" s="19" t="s">
        <v>278</v>
      </c>
      <c r="B440" s="19" t="s">
        <v>279</v>
      </c>
      <c r="C440" s="19"/>
      <c r="D440" s="18"/>
    </row>
    <row r="441" spans="1:4" ht="12.75">
      <c r="A441" s="19" t="s">
        <v>280</v>
      </c>
      <c r="B441" s="19"/>
      <c r="C441" s="19"/>
      <c r="D441" s="18"/>
    </row>
    <row r="442" spans="1:4" ht="12.75">
      <c r="A442" s="19" t="s">
        <v>281</v>
      </c>
      <c r="B442" s="19"/>
      <c r="C442" s="19"/>
      <c r="D442" s="18"/>
    </row>
    <row r="443" spans="1:4" ht="12.75">
      <c r="A443" s="19" t="s">
        <v>282</v>
      </c>
      <c r="B443" s="19"/>
      <c r="C443" s="19"/>
      <c r="D443" s="18"/>
    </row>
    <row r="444" ht="12.75">
      <c r="A444" s="1"/>
    </row>
    <row r="445" ht="12.75">
      <c r="A445" s="1" t="s">
        <v>283</v>
      </c>
    </row>
    <row r="446" spans="1:3" ht="12.75">
      <c r="A446" s="1" t="s">
        <v>284</v>
      </c>
      <c r="C446" t="s">
        <v>291</v>
      </c>
    </row>
    <row r="447" ht="12.75">
      <c r="A447" s="1"/>
    </row>
    <row r="448" ht="12.75">
      <c r="A448" s="1" t="s">
        <v>285</v>
      </c>
    </row>
    <row r="449" ht="12.75">
      <c r="A449" s="1"/>
    </row>
    <row r="450" ht="12.75">
      <c r="A450" s="1" t="s">
        <v>396</v>
      </c>
    </row>
    <row r="451" ht="12.75">
      <c r="A451" s="1" t="s">
        <v>287</v>
      </c>
    </row>
    <row r="452" ht="12.75">
      <c r="A452" s="9"/>
    </row>
    <row r="453" ht="12.75">
      <c r="A453" s="9"/>
    </row>
    <row r="454" spans="1:4" ht="36.75" customHeight="1">
      <c r="A454" s="49" t="s">
        <v>288</v>
      </c>
      <c r="B454" s="49"/>
      <c r="C454" s="49"/>
      <c r="D454" s="49"/>
    </row>
    <row r="455" ht="12.75">
      <c r="A455" s="10"/>
    </row>
    <row r="456" ht="12.75">
      <c r="A456" s="10"/>
    </row>
    <row r="457" ht="12.75">
      <c r="A457" s="10"/>
    </row>
    <row r="458" ht="12.75">
      <c r="A458" s="1" t="s">
        <v>286</v>
      </c>
    </row>
    <row r="459" ht="12.75">
      <c r="A459" s="1" t="s">
        <v>289</v>
      </c>
    </row>
    <row r="460" ht="12.75">
      <c r="A460" s="11"/>
    </row>
    <row r="463" spans="1:12" ht="15.75">
      <c r="A463" s="46" t="s">
        <v>262</v>
      </c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14"/>
    </row>
    <row r="464" spans="1:12" ht="15.75">
      <c r="A464" s="46" t="s">
        <v>291</v>
      </c>
      <c r="B464" s="46"/>
      <c r="C464" s="46"/>
      <c r="D464" s="46"/>
      <c r="E464" s="46"/>
      <c r="F464" s="46"/>
      <c r="G464" s="46"/>
      <c r="H464" s="46"/>
      <c r="I464" s="46"/>
      <c r="J464" s="46"/>
      <c r="K464" s="14"/>
      <c r="L464" s="14"/>
    </row>
    <row r="465" spans="1:12" ht="15.75">
      <c r="A465" s="46" t="s">
        <v>305</v>
      </c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</row>
    <row r="466" spans="1:12" ht="54.75" customHeight="1">
      <c r="A466" s="47" t="s">
        <v>290</v>
      </c>
      <c r="B466" s="47"/>
      <c r="C466" s="47"/>
      <c r="D466" s="47"/>
      <c r="E466" s="47"/>
      <c r="F466" s="47"/>
      <c r="G466" s="47"/>
      <c r="H466" s="47"/>
      <c r="I466" s="47"/>
      <c r="J466" s="47"/>
      <c r="K466" s="16"/>
      <c r="L466" s="16"/>
    </row>
    <row r="467" spans="1:12" ht="12.7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3"/>
      <c r="L467" s="13"/>
    </row>
    <row r="468" spans="1:12" ht="12.75">
      <c r="A468" s="18" t="s">
        <v>264</v>
      </c>
      <c r="B468" s="48" t="s">
        <v>266</v>
      </c>
      <c r="C468" s="48" t="s">
        <v>267</v>
      </c>
      <c r="D468" s="18" t="s">
        <v>268</v>
      </c>
      <c r="K468" s="13"/>
      <c r="L468" s="13"/>
    </row>
    <row r="469" spans="1:4" ht="12.75">
      <c r="A469" s="18" t="s">
        <v>265</v>
      </c>
      <c r="B469" s="48"/>
      <c r="C469" s="48"/>
      <c r="D469" s="18" t="s">
        <v>269</v>
      </c>
    </row>
    <row r="470" spans="1:4" ht="38.25">
      <c r="A470" s="19" t="s">
        <v>270</v>
      </c>
      <c r="B470" s="19" t="s">
        <v>271</v>
      </c>
      <c r="C470" s="19"/>
      <c r="D470" s="18">
        <f>SUM(D471+D472+D473+D474+D475+D476)</f>
        <v>100618.05</v>
      </c>
    </row>
    <row r="471" spans="1:4" ht="38.25">
      <c r="A471" s="19" t="s">
        <v>19</v>
      </c>
      <c r="B471" s="20" t="s">
        <v>272</v>
      </c>
      <c r="C471" s="19"/>
      <c r="D471" s="18"/>
    </row>
    <row r="472" spans="1:4" ht="38.25">
      <c r="A472" s="19" t="s">
        <v>20</v>
      </c>
      <c r="B472" s="20" t="s">
        <v>273</v>
      </c>
      <c r="C472" s="19"/>
      <c r="D472" s="18">
        <v>65947</v>
      </c>
    </row>
    <row r="473" spans="1:4" ht="38.25">
      <c r="A473" s="21" t="s">
        <v>293</v>
      </c>
      <c r="B473" s="20" t="s">
        <v>274</v>
      </c>
      <c r="C473" s="19"/>
      <c r="D473" s="18">
        <f>8601.05+4159.57+458.29+1750</f>
        <v>14968.91</v>
      </c>
    </row>
    <row r="474" spans="1:4" ht="38.25">
      <c r="A474" s="21" t="s">
        <v>292</v>
      </c>
      <c r="B474" s="20" t="s">
        <v>275</v>
      </c>
      <c r="C474" s="19"/>
      <c r="D474" s="18">
        <f>4159.5+1751.23</f>
        <v>5910.73</v>
      </c>
    </row>
    <row r="475" spans="1:4" ht="38.25">
      <c r="A475" s="21" t="s">
        <v>294</v>
      </c>
      <c r="B475" s="20" t="s">
        <v>276</v>
      </c>
      <c r="C475" s="19"/>
      <c r="D475" s="18">
        <f>13311.41</f>
        <v>13311.41</v>
      </c>
    </row>
    <row r="476" spans="1:4" ht="25.5">
      <c r="A476" s="21" t="s">
        <v>295</v>
      </c>
      <c r="B476" s="20" t="s">
        <v>277</v>
      </c>
      <c r="C476" s="19"/>
      <c r="D476" s="18">
        <v>480</v>
      </c>
    </row>
    <row r="477" spans="1:4" ht="12.75">
      <c r="A477" s="19" t="s">
        <v>278</v>
      </c>
      <c r="B477" s="19" t="s">
        <v>279</v>
      </c>
      <c r="C477" s="19"/>
      <c r="D477" s="18">
        <f>D478</f>
        <v>0</v>
      </c>
    </row>
    <row r="478" spans="1:4" ht="12.75">
      <c r="A478" s="19" t="s">
        <v>280</v>
      </c>
      <c r="B478" s="19"/>
      <c r="C478" s="19"/>
      <c r="D478" s="18"/>
    </row>
    <row r="479" spans="1:4" ht="12.75">
      <c r="A479" s="19" t="s">
        <v>281</v>
      </c>
      <c r="B479" s="19"/>
      <c r="C479" s="19"/>
      <c r="D479" s="18"/>
    </row>
    <row r="480" spans="1:4" ht="12.75">
      <c r="A480" s="19" t="s">
        <v>282</v>
      </c>
      <c r="B480" s="19"/>
      <c r="C480" s="19"/>
      <c r="D480" s="18"/>
    </row>
    <row r="481" ht="12.75">
      <c r="A481" s="1"/>
    </row>
    <row r="482" ht="12.75">
      <c r="A482" s="1" t="s">
        <v>283</v>
      </c>
    </row>
    <row r="483" spans="1:3" ht="12.75">
      <c r="A483" s="1" t="s">
        <v>284</v>
      </c>
      <c r="C483" t="s">
        <v>291</v>
      </c>
    </row>
    <row r="484" ht="12.75">
      <c r="A484" s="1"/>
    </row>
    <row r="485" ht="12.75">
      <c r="A485" s="1" t="s">
        <v>285</v>
      </c>
    </row>
    <row r="486" ht="12.75">
      <c r="A486" s="1"/>
    </row>
    <row r="487" ht="12.75">
      <c r="A487" s="1" t="s">
        <v>396</v>
      </c>
    </row>
    <row r="488" ht="12.75">
      <c r="A488" s="1" t="s">
        <v>287</v>
      </c>
    </row>
    <row r="489" ht="8.25" customHeight="1">
      <c r="A489" s="9"/>
    </row>
    <row r="490" ht="12.75">
      <c r="A490" s="9"/>
    </row>
    <row r="491" spans="1:4" ht="39" customHeight="1">
      <c r="A491" s="49" t="s">
        <v>288</v>
      </c>
      <c r="B491" s="49"/>
      <c r="C491" s="49"/>
      <c r="D491" s="49"/>
    </row>
    <row r="492" ht="4.5" customHeight="1">
      <c r="A492" s="10"/>
    </row>
    <row r="493" ht="12.75" hidden="1">
      <c r="A493" s="10"/>
    </row>
    <row r="494" ht="11.25" customHeight="1">
      <c r="A494" s="10"/>
    </row>
    <row r="495" ht="12.75">
      <c r="A495" s="1" t="s">
        <v>286</v>
      </c>
    </row>
    <row r="496" ht="12.75">
      <c r="A496" s="1" t="s">
        <v>289</v>
      </c>
    </row>
    <row r="497" ht="12.75">
      <c r="A497" s="11"/>
    </row>
    <row r="499" ht="27" customHeight="1"/>
    <row r="500" spans="1:12" ht="15.75">
      <c r="A500" s="46" t="s">
        <v>262</v>
      </c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14"/>
    </row>
    <row r="501" spans="1:12" ht="15.75">
      <c r="A501" s="46" t="s">
        <v>291</v>
      </c>
      <c r="B501" s="46"/>
      <c r="C501" s="46"/>
      <c r="D501" s="46"/>
      <c r="E501" s="46"/>
      <c r="F501" s="46"/>
      <c r="G501" s="46"/>
      <c r="H501" s="46"/>
      <c r="I501" s="46"/>
      <c r="J501" s="46"/>
      <c r="K501" s="14"/>
      <c r="L501" s="14"/>
    </row>
    <row r="502" spans="1:12" ht="15.75">
      <c r="A502" s="46" t="s">
        <v>306</v>
      </c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</row>
    <row r="503" spans="1:12" ht="53.25" customHeight="1">
      <c r="A503" s="47" t="s">
        <v>290</v>
      </c>
      <c r="B503" s="47"/>
      <c r="C503" s="47"/>
      <c r="D503" s="47"/>
      <c r="E503" s="47"/>
      <c r="F503" s="47"/>
      <c r="G503" s="47"/>
      <c r="H503" s="47"/>
      <c r="I503" s="47"/>
      <c r="J503" s="47"/>
      <c r="K503" s="16"/>
      <c r="L503" s="16"/>
    </row>
    <row r="504" spans="1:12" ht="12.7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3"/>
      <c r="L504" s="13"/>
    </row>
    <row r="505" spans="1:12" ht="12.75">
      <c r="A505" s="18" t="s">
        <v>264</v>
      </c>
      <c r="B505" s="48" t="s">
        <v>266</v>
      </c>
      <c r="C505" s="48" t="s">
        <v>267</v>
      </c>
      <c r="D505" s="18" t="s">
        <v>268</v>
      </c>
      <c r="K505" s="13"/>
      <c r="L505" s="13"/>
    </row>
    <row r="506" spans="1:4" ht="12.75">
      <c r="A506" s="18" t="s">
        <v>265</v>
      </c>
      <c r="B506" s="48"/>
      <c r="C506" s="48"/>
      <c r="D506" s="18" t="s">
        <v>269</v>
      </c>
    </row>
    <row r="507" spans="1:4" ht="38.25">
      <c r="A507" s="19" t="s">
        <v>270</v>
      </c>
      <c r="B507" s="19" t="s">
        <v>271</v>
      </c>
      <c r="C507" s="19"/>
      <c r="D507" s="18">
        <f>D508+D509+D510+D511+D512+D513</f>
        <v>358229.64</v>
      </c>
    </row>
    <row r="508" spans="1:4" ht="38.25">
      <c r="A508" s="19" t="s">
        <v>19</v>
      </c>
      <c r="B508" s="20" t="s">
        <v>272</v>
      </c>
      <c r="C508" s="19"/>
      <c r="D508" s="18">
        <f>1155.03+1155.03</f>
        <v>2310.06</v>
      </c>
    </row>
    <row r="509" spans="1:4" ht="38.25">
      <c r="A509" s="19" t="s">
        <v>20</v>
      </c>
      <c r="B509" s="20" t="s">
        <v>273</v>
      </c>
      <c r="C509" s="19"/>
      <c r="D509" s="18">
        <f>168036.83+27115</f>
        <v>195151.83</v>
      </c>
    </row>
    <row r="510" spans="1:4" ht="38.25">
      <c r="A510" s="21" t="s">
        <v>293</v>
      </c>
      <c r="B510" s="20" t="s">
        <v>274</v>
      </c>
      <c r="C510" s="19"/>
      <c r="D510" s="18"/>
    </row>
    <row r="511" spans="1:4" ht="38.25">
      <c r="A511" s="21" t="s">
        <v>292</v>
      </c>
      <c r="B511" s="20" t="s">
        <v>275</v>
      </c>
      <c r="C511" s="19"/>
      <c r="D511" s="18"/>
    </row>
    <row r="512" spans="1:4" ht="38.25">
      <c r="A512" s="21" t="s">
        <v>294</v>
      </c>
      <c r="B512" s="20" t="s">
        <v>276</v>
      </c>
      <c r="C512" s="19"/>
      <c r="D512" s="18">
        <f>160767.75</f>
        <v>160767.75</v>
      </c>
    </row>
    <row r="513" spans="1:4" ht="25.5">
      <c r="A513" s="21" t="s">
        <v>295</v>
      </c>
      <c r="B513" s="20" t="s">
        <v>277</v>
      </c>
      <c r="C513" s="19"/>
      <c r="D513" s="18"/>
    </row>
    <row r="514" spans="1:4" ht="12.75">
      <c r="A514" s="19" t="s">
        <v>278</v>
      </c>
      <c r="B514" s="19" t="s">
        <v>279</v>
      </c>
      <c r="C514" s="19"/>
      <c r="D514" s="18"/>
    </row>
    <row r="515" spans="1:4" ht="12.75">
      <c r="A515" s="19" t="s">
        <v>280</v>
      </c>
      <c r="B515" s="19"/>
      <c r="C515" s="19"/>
      <c r="D515" s="18"/>
    </row>
    <row r="516" spans="1:4" ht="12.75">
      <c r="A516" s="19" t="s">
        <v>281</v>
      </c>
      <c r="B516" s="19"/>
      <c r="C516" s="19"/>
      <c r="D516" s="18"/>
    </row>
    <row r="517" spans="1:4" ht="12.75">
      <c r="A517" s="19" t="s">
        <v>282</v>
      </c>
      <c r="B517" s="19"/>
      <c r="C517" s="19"/>
      <c r="D517" s="18"/>
    </row>
    <row r="518" ht="12.75">
      <c r="A518" s="1"/>
    </row>
    <row r="519" ht="12.75">
      <c r="A519" s="1" t="s">
        <v>283</v>
      </c>
    </row>
    <row r="520" spans="1:3" ht="12.75">
      <c r="A520" s="1" t="s">
        <v>284</v>
      </c>
      <c r="C520" t="s">
        <v>291</v>
      </c>
    </row>
    <row r="521" ht="12.75">
      <c r="A521" s="1"/>
    </row>
    <row r="522" ht="12.75">
      <c r="A522" s="1" t="s">
        <v>285</v>
      </c>
    </row>
    <row r="523" ht="12.75">
      <c r="A523" s="1"/>
    </row>
    <row r="524" ht="12.75">
      <c r="A524" s="1" t="s">
        <v>396</v>
      </c>
    </row>
    <row r="525" ht="12.75">
      <c r="A525" s="1" t="s">
        <v>287</v>
      </c>
    </row>
    <row r="526" ht="12.75">
      <c r="A526" s="9"/>
    </row>
    <row r="527" ht="12.75">
      <c r="A527" s="9"/>
    </row>
    <row r="528" spans="1:4" ht="38.25" customHeight="1">
      <c r="A528" s="49" t="s">
        <v>288</v>
      </c>
      <c r="B528" s="49"/>
      <c r="C528" s="49"/>
      <c r="D528" s="49"/>
    </row>
    <row r="529" ht="12.75">
      <c r="A529" s="10"/>
    </row>
    <row r="530" ht="12.75">
      <c r="A530" s="10"/>
    </row>
    <row r="531" ht="12.75">
      <c r="A531" s="10"/>
    </row>
    <row r="532" ht="12.75">
      <c r="A532" s="1" t="s">
        <v>286</v>
      </c>
    </row>
    <row r="533" ht="12.75">
      <c r="A533" s="1" t="s">
        <v>289</v>
      </c>
    </row>
    <row r="534" ht="12.75">
      <c r="A534" s="11"/>
    </row>
    <row r="535" ht="3" customHeight="1"/>
    <row r="536" ht="14.25" customHeight="1"/>
    <row r="537" spans="1:12" ht="15.75">
      <c r="A537" s="46" t="s">
        <v>262</v>
      </c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14"/>
    </row>
    <row r="538" spans="1:12" ht="15.75">
      <c r="A538" s="46" t="s">
        <v>291</v>
      </c>
      <c r="B538" s="46"/>
      <c r="C538" s="46"/>
      <c r="D538" s="46"/>
      <c r="E538" s="46"/>
      <c r="F538" s="46"/>
      <c r="G538" s="46"/>
      <c r="H538" s="46"/>
      <c r="I538" s="46"/>
      <c r="J538" s="46"/>
      <c r="K538" s="14"/>
      <c r="L538" s="14"/>
    </row>
    <row r="539" spans="1:12" ht="15.75">
      <c r="A539" s="46" t="s">
        <v>307</v>
      </c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</row>
    <row r="540" spans="1:12" ht="53.25" customHeight="1">
      <c r="A540" s="47" t="s">
        <v>290</v>
      </c>
      <c r="B540" s="47"/>
      <c r="C540" s="47"/>
      <c r="D540" s="47"/>
      <c r="E540" s="47"/>
      <c r="F540" s="47"/>
      <c r="G540" s="47"/>
      <c r="H540" s="47"/>
      <c r="I540" s="47"/>
      <c r="J540" s="47"/>
      <c r="K540" s="16"/>
      <c r="L540" s="16"/>
    </row>
    <row r="541" spans="1:12" ht="12.7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3"/>
      <c r="L541" s="13"/>
    </row>
    <row r="542" spans="1:12" ht="12.75">
      <c r="A542" s="18" t="s">
        <v>264</v>
      </c>
      <c r="B542" s="48" t="s">
        <v>266</v>
      </c>
      <c r="C542" s="48" t="s">
        <v>267</v>
      </c>
      <c r="D542" s="18" t="s">
        <v>268</v>
      </c>
      <c r="K542" s="13"/>
      <c r="L542" s="13"/>
    </row>
    <row r="543" spans="1:4" ht="12.75">
      <c r="A543" s="18" t="s">
        <v>265</v>
      </c>
      <c r="B543" s="48"/>
      <c r="C543" s="48"/>
      <c r="D543" s="18" t="s">
        <v>269</v>
      </c>
    </row>
    <row r="544" spans="1:4" ht="38.25">
      <c r="A544" s="19" t="s">
        <v>270</v>
      </c>
      <c r="B544" s="19" t="s">
        <v>271</v>
      </c>
      <c r="C544" s="19"/>
      <c r="D544" s="18">
        <f>D545+D546+D547+D548+D549+D550</f>
        <v>259944.54999999996</v>
      </c>
    </row>
    <row r="545" spans="1:4" ht="38.25">
      <c r="A545" s="19" t="s">
        <v>19</v>
      </c>
      <c r="B545" s="20" t="s">
        <v>272</v>
      </c>
      <c r="C545" s="19"/>
      <c r="D545" s="18">
        <f>2310.06+6730.09</f>
        <v>9040.15</v>
      </c>
    </row>
    <row r="546" spans="1:4" ht="38.25">
      <c r="A546" s="19" t="s">
        <v>20</v>
      </c>
      <c r="B546" s="20" t="s">
        <v>273</v>
      </c>
      <c r="C546" s="19"/>
      <c r="D546" s="18">
        <f>190645.55+913+53554.71</f>
        <v>245113.25999999998</v>
      </c>
    </row>
    <row r="547" spans="1:4" ht="38.25">
      <c r="A547" s="21" t="s">
        <v>293</v>
      </c>
      <c r="B547" s="20" t="s">
        <v>274</v>
      </c>
      <c r="C547" s="19"/>
      <c r="D547" s="18">
        <v>606.08</v>
      </c>
    </row>
    <row r="548" spans="1:4" ht="38.25">
      <c r="A548" s="21" t="s">
        <v>292</v>
      </c>
      <c r="B548" s="20" t="s">
        <v>275</v>
      </c>
      <c r="C548" s="19"/>
      <c r="D548" s="18">
        <f>3728+606.07</f>
        <v>4334.07</v>
      </c>
    </row>
    <row r="549" spans="1:4" ht="38.25">
      <c r="A549" s="21" t="s">
        <v>294</v>
      </c>
      <c r="B549" s="20" t="s">
        <v>276</v>
      </c>
      <c r="C549" s="19"/>
      <c r="D549" s="18"/>
    </row>
    <row r="550" spans="1:4" ht="25.5">
      <c r="A550" s="21" t="s">
        <v>295</v>
      </c>
      <c r="B550" s="20" t="s">
        <v>277</v>
      </c>
      <c r="C550" s="19"/>
      <c r="D550" s="18">
        <v>850.99</v>
      </c>
    </row>
    <row r="551" spans="1:4" ht="12.75">
      <c r="A551" s="19" t="s">
        <v>278</v>
      </c>
      <c r="B551" s="19" t="s">
        <v>279</v>
      </c>
      <c r="C551" s="19"/>
      <c r="D551" s="18">
        <f>D552</f>
        <v>0</v>
      </c>
    </row>
    <row r="552" spans="1:4" ht="12.75">
      <c r="A552" s="19" t="s">
        <v>280</v>
      </c>
      <c r="B552" s="19"/>
      <c r="C552" s="19"/>
      <c r="D552" s="18"/>
    </row>
    <row r="553" spans="1:4" ht="12.75">
      <c r="A553" s="19" t="s">
        <v>281</v>
      </c>
      <c r="B553" s="19"/>
      <c r="C553" s="19"/>
      <c r="D553" s="18"/>
    </row>
    <row r="554" spans="1:4" ht="12.75">
      <c r="A554" s="19" t="s">
        <v>282</v>
      </c>
      <c r="B554" s="19"/>
      <c r="C554" s="19"/>
      <c r="D554" s="18"/>
    </row>
    <row r="555" ht="12.75">
      <c r="A555" s="1"/>
    </row>
    <row r="556" ht="12.75">
      <c r="A556" s="1" t="s">
        <v>283</v>
      </c>
    </row>
    <row r="557" spans="1:3" ht="12.75">
      <c r="A557" s="1" t="s">
        <v>284</v>
      </c>
      <c r="C557" t="s">
        <v>291</v>
      </c>
    </row>
    <row r="558" ht="12.75">
      <c r="A558" s="1"/>
    </row>
    <row r="559" ht="12.75">
      <c r="A559" s="1" t="s">
        <v>285</v>
      </c>
    </row>
    <row r="560" ht="12.75">
      <c r="A560" s="1"/>
    </row>
    <row r="561" ht="12.75">
      <c r="A561" s="1" t="s">
        <v>396</v>
      </c>
    </row>
    <row r="562" ht="12.75">
      <c r="A562" s="1" t="s">
        <v>287</v>
      </c>
    </row>
    <row r="563" ht="12.75">
      <c r="A563" s="9"/>
    </row>
    <row r="564" ht="12.75">
      <c r="A564" s="9"/>
    </row>
    <row r="565" spans="1:4" ht="36.75" customHeight="1">
      <c r="A565" s="49" t="s">
        <v>288</v>
      </c>
      <c r="B565" s="49"/>
      <c r="C565" s="49"/>
      <c r="D565" s="49"/>
    </row>
    <row r="566" ht="12.75">
      <c r="A566" s="10"/>
    </row>
    <row r="567" ht="12.75">
      <c r="A567" s="10"/>
    </row>
    <row r="568" ht="12.75">
      <c r="A568" s="10"/>
    </row>
    <row r="569" ht="12.75">
      <c r="A569" s="1" t="s">
        <v>286</v>
      </c>
    </row>
    <row r="570" ht="12.75">
      <c r="A570" s="1" t="s">
        <v>289</v>
      </c>
    </row>
    <row r="571" ht="12.75">
      <c r="A571" s="11"/>
    </row>
    <row r="572" ht="12.75" hidden="1"/>
    <row r="573" ht="31.5" customHeight="1"/>
    <row r="574" spans="1:12" ht="15.75">
      <c r="A574" s="46" t="s">
        <v>262</v>
      </c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14"/>
    </row>
    <row r="575" spans="1:12" ht="15.75">
      <c r="A575" s="46" t="s">
        <v>291</v>
      </c>
      <c r="B575" s="46"/>
      <c r="C575" s="46"/>
      <c r="D575" s="46"/>
      <c r="E575" s="46"/>
      <c r="F575" s="46"/>
      <c r="G575" s="46"/>
      <c r="H575" s="46"/>
      <c r="I575" s="46"/>
      <c r="J575" s="46"/>
      <c r="K575" s="14"/>
      <c r="L575" s="14"/>
    </row>
    <row r="576" spans="1:12" ht="15.75">
      <c r="A576" s="46" t="s">
        <v>308</v>
      </c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</row>
    <row r="577" spans="1:12" ht="54.75" customHeight="1">
      <c r="A577" s="47" t="s">
        <v>290</v>
      </c>
      <c r="B577" s="47"/>
      <c r="C577" s="47"/>
      <c r="D577" s="47"/>
      <c r="E577" s="47"/>
      <c r="F577" s="47"/>
      <c r="G577" s="47"/>
      <c r="H577" s="47"/>
      <c r="I577" s="47"/>
      <c r="J577" s="47"/>
      <c r="K577" s="16"/>
      <c r="L577" s="16"/>
    </row>
    <row r="578" spans="1:12" ht="12.7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3"/>
      <c r="L578" s="13"/>
    </row>
    <row r="579" spans="1:12" ht="12.75">
      <c r="A579" s="18" t="s">
        <v>264</v>
      </c>
      <c r="B579" s="48" t="s">
        <v>266</v>
      </c>
      <c r="C579" s="48" t="s">
        <v>267</v>
      </c>
      <c r="D579" s="18" t="s">
        <v>268</v>
      </c>
      <c r="K579" s="13"/>
      <c r="L579" s="13"/>
    </row>
    <row r="580" spans="1:4" ht="12.75">
      <c r="A580" s="18" t="s">
        <v>265</v>
      </c>
      <c r="B580" s="48"/>
      <c r="C580" s="48"/>
      <c r="D580" s="18" t="s">
        <v>269</v>
      </c>
    </row>
    <row r="581" spans="1:4" ht="38.25">
      <c r="A581" s="19" t="s">
        <v>270</v>
      </c>
      <c r="B581" s="19" t="s">
        <v>271</v>
      </c>
      <c r="C581" s="19"/>
      <c r="D581" s="18">
        <f>D582+D583+D584+D585+D586+D587</f>
        <v>215429.53000000003</v>
      </c>
    </row>
    <row r="582" spans="1:4" ht="38.25">
      <c r="A582" s="19" t="s">
        <v>19</v>
      </c>
      <c r="B582" s="20" t="s">
        <v>272</v>
      </c>
      <c r="C582" s="19"/>
      <c r="D582" s="18">
        <f>17047.82+6570</f>
        <v>23617.82</v>
      </c>
    </row>
    <row r="583" spans="1:4" ht="38.25">
      <c r="A583" s="19" t="s">
        <v>20</v>
      </c>
      <c r="B583" s="20" t="s">
        <v>273</v>
      </c>
      <c r="C583" s="19"/>
      <c r="D583" s="18">
        <f>3080+187871.16</f>
        <v>190951.16</v>
      </c>
    </row>
    <row r="584" spans="1:4" ht="38.25">
      <c r="A584" s="21" t="s">
        <v>293</v>
      </c>
      <c r="B584" s="20" t="s">
        <v>274</v>
      </c>
      <c r="C584" s="19"/>
      <c r="D584" s="18"/>
    </row>
    <row r="585" spans="1:4" ht="38.25">
      <c r="A585" s="21" t="s">
        <v>292</v>
      </c>
      <c r="B585" s="20" t="s">
        <v>275</v>
      </c>
      <c r="C585" s="19"/>
      <c r="D585" s="18">
        <v>380.35</v>
      </c>
    </row>
    <row r="586" spans="1:4" ht="38.25">
      <c r="A586" s="21" t="s">
        <v>294</v>
      </c>
      <c r="B586" s="20" t="s">
        <v>276</v>
      </c>
      <c r="C586" s="19"/>
      <c r="D586" s="18"/>
    </row>
    <row r="587" spans="1:4" ht="25.5">
      <c r="A587" s="21" t="s">
        <v>295</v>
      </c>
      <c r="B587" s="20" t="s">
        <v>277</v>
      </c>
      <c r="C587" s="19"/>
      <c r="D587" s="18">
        <f>480.2</f>
        <v>480.2</v>
      </c>
    </row>
    <row r="588" spans="1:4" ht="12.75">
      <c r="A588" s="19" t="s">
        <v>278</v>
      </c>
      <c r="B588" s="19" t="s">
        <v>279</v>
      </c>
      <c r="C588" s="19"/>
      <c r="D588" s="18">
        <f>D589</f>
        <v>0</v>
      </c>
    </row>
    <row r="589" spans="1:4" ht="12.75">
      <c r="A589" s="19" t="s">
        <v>280</v>
      </c>
      <c r="B589" s="19"/>
      <c r="C589" s="19"/>
      <c r="D589" s="18"/>
    </row>
    <row r="590" spans="1:4" ht="12.75">
      <c r="A590" s="19" t="s">
        <v>281</v>
      </c>
      <c r="B590" s="19"/>
      <c r="C590" s="19"/>
      <c r="D590" s="18"/>
    </row>
    <row r="591" spans="1:4" ht="12.75">
      <c r="A591" s="19" t="s">
        <v>282</v>
      </c>
      <c r="B591" s="19"/>
      <c r="C591" s="19"/>
      <c r="D591" s="18"/>
    </row>
    <row r="592" ht="12.75">
      <c r="A592" s="1"/>
    </row>
    <row r="593" ht="12.75">
      <c r="A593" s="1" t="s">
        <v>283</v>
      </c>
    </row>
    <row r="594" spans="1:3" ht="12.75">
      <c r="A594" s="1" t="s">
        <v>284</v>
      </c>
      <c r="C594" t="s">
        <v>291</v>
      </c>
    </row>
    <row r="595" ht="12.75">
      <c r="A595" s="1"/>
    </row>
    <row r="596" ht="12.75">
      <c r="A596" s="1" t="s">
        <v>285</v>
      </c>
    </row>
    <row r="597" ht="12.75">
      <c r="A597" s="1"/>
    </row>
    <row r="598" ht="12.75">
      <c r="A598" s="1" t="s">
        <v>396</v>
      </c>
    </row>
    <row r="599" ht="12.75">
      <c r="A599" s="1" t="s">
        <v>287</v>
      </c>
    </row>
    <row r="600" ht="12.75">
      <c r="A600" s="9"/>
    </row>
    <row r="601" ht="12.75">
      <c r="A601" s="9"/>
    </row>
    <row r="602" spans="1:4" ht="36.75" customHeight="1">
      <c r="A602" s="49" t="s">
        <v>288</v>
      </c>
      <c r="B602" s="49"/>
      <c r="C602" s="49"/>
      <c r="D602" s="49"/>
    </row>
    <row r="603" ht="12.75">
      <c r="A603" s="10"/>
    </row>
    <row r="604" ht="12.75">
      <c r="A604" s="10"/>
    </row>
    <row r="605" ht="12.75">
      <c r="A605" s="10"/>
    </row>
    <row r="606" ht="12.75">
      <c r="A606" s="1" t="s">
        <v>286</v>
      </c>
    </row>
    <row r="607" ht="12.75">
      <c r="A607" s="1" t="s">
        <v>289</v>
      </c>
    </row>
    <row r="608" ht="12.75">
      <c r="A608" s="11"/>
    </row>
    <row r="609" ht="12.75" hidden="1"/>
    <row r="610" ht="27.75" customHeight="1"/>
    <row r="611" spans="1:12" ht="15.75">
      <c r="A611" s="46" t="s">
        <v>262</v>
      </c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14"/>
    </row>
    <row r="612" spans="1:12" ht="15.75">
      <c r="A612" s="46" t="s">
        <v>291</v>
      </c>
      <c r="B612" s="46"/>
      <c r="C612" s="46"/>
      <c r="D612" s="46"/>
      <c r="E612" s="46"/>
      <c r="F612" s="46"/>
      <c r="G612" s="46"/>
      <c r="H612" s="46"/>
      <c r="I612" s="46"/>
      <c r="J612" s="46"/>
      <c r="K612" s="14"/>
      <c r="L612" s="14"/>
    </row>
    <row r="613" spans="1:12" ht="15.75">
      <c r="A613" s="46" t="s">
        <v>309</v>
      </c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</row>
    <row r="614" spans="1:12" ht="52.5" customHeight="1">
      <c r="A614" s="47" t="s">
        <v>290</v>
      </c>
      <c r="B614" s="47"/>
      <c r="C614" s="47"/>
      <c r="D614" s="47"/>
      <c r="E614" s="47"/>
      <c r="F614" s="47"/>
      <c r="G614" s="47"/>
      <c r="H614" s="47"/>
      <c r="I614" s="47"/>
      <c r="J614" s="47"/>
      <c r="K614" s="16"/>
      <c r="L614" s="16"/>
    </row>
    <row r="615" spans="1:12" ht="12.7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3"/>
      <c r="L615" s="13"/>
    </row>
    <row r="616" spans="1:12" ht="12.75">
      <c r="A616" s="18" t="s">
        <v>264</v>
      </c>
      <c r="B616" s="48" t="s">
        <v>266</v>
      </c>
      <c r="C616" s="48" t="s">
        <v>267</v>
      </c>
      <c r="D616" s="18" t="s">
        <v>268</v>
      </c>
      <c r="K616" s="13"/>
      <c r="L616" s="13"/>
    </row>
    <row r="617" spans="1:4" ht="12.75">
      <c r="A617" s="18" t="s">
        <v>265</v>
      </c>
      <c r="B617" s="48"/>
      <c r="C617" s="48"/>
      <c r="D617" s="18" t="s">
        <v>269</v>
      </c>
    </row>
    <row r="618" spans="1:4" ht="38.25">
      <c r="A618" s="19" t="s">
        <v>270</v>
      </c>
      <c r="B618" s="19" t="s">
        <v>271</v>
      </c>
      <c r="C618" s="19"/>
      <c r="D618" s="18">
        <f>D619+D620+D621+D622+D623+D624</f>
        <v>363996.6099999999</v>
      </c>
    </row>
    <row r="619" spans="1:4" ht="38.25">
      <c r="A619" s="19" t="s">
        <v>19</v>
      </c>
      <c r="B619" s="20" t="s">
        <v>272</v>
      </c>
      <c r="C619" s="19"/>
      <c r="D619" s="18">
        <f>10136+3085+867.47</f>
        <v>14088.47</v>
      </c>
    </row>
    <row r="620" spans="1:4" ht="38.25">
      <c r="A620" s="19" t="s">
        <v>20</v>
      </c>
      <c r="B620" s="20" t="s">
        <v>273</v>
      </c>
      <c r="C620" s="19"/>
      <c r="D620" s="18">
        <f>53196.6+289129.71</f>
        <v>342326.31</v>
      </c>
    </row>
    <row r="621" spans="1:4" ht="38.25">
      <c r="A621" s="21" t="s">
        <v>293</v>
      </c>
      <c r="B621" s="20" t="s">
        <v>274</v>
      </c>
      <c r="C621" s="19"/>
      <c r="D621" s="18">
        <f>458+3554.99+1784.42</f>
        <v>5797.41</v>
      </c>
    </row>
    <row r="622" spans="1:4" ht="38.25">
      <c r="A622" s="21" t="s">
        <v>292</v>
      </c>
      <c r="B622" s="20" t="s">
        <v>275</v>
      </c>
      <c r="C622" s="19"/>
      <c r="D622" s="18">
        <v>1784.42</v>
      </c>
    </row>
    <row r="623" spans="1:4" ht="38.25">
      <c r="A623" s="21" t="s">
        <v>294</v>
      </c>
      <c r="B623" s="20" t="s">
        <v>276</v>
      </c>
      <c r="C623" s="19"/>
      <c r="D623" s="18"/>
    </row>
    <row r="624" spans="1:4" ht="25.5">
      <c r="A624" s="21" t="s">
        <v>295</v>
      </c>
      <c r="B624" s="20" t="s">
        <v>277</v>
      </c>
      <c r="C624" s="19"/>
      <c r="D624" s="18"/>
    </row>
    <row r="625" spans="1:4" ht="12.75">
      <c r="A625" s="19" t="s">
        <v>278</v>
      </c>
      <c r="B625" s="19" t="s">
        <v>279</v>
      </c>
      <c r="C625" s="19"/>
      <c r="D625" s="18">
        <f>D626</f>
        <v>0</v>
      </c>
    </row>
    <row r="626" spans="1:4" ht="12.75">
      <c r="A626" s="19" t="s">
        <v>280</v>
      </c>
      <c r="B626" s="19"/>
      <c r="C626" s="19"/>
      <c r="D626" s="18"/>
    </row>
    <row r="627" spans="1:4" ht="12.75">
      <c r="A627" s="19" t="s">
        <v>281</v>
      </c>
      <c r="B627" s="19"/>
      <c r="C627" s="19"/>
      <c r="D627" s="18"/>
    </row>
    <row r="628" spans="1:4" ht="12.75">
      <c r="A628" s="19" t="s">
        <v>282</v>
      </c>
      <c r="B628" s="19"/>
      <c r="C628" s="19"/>
      <c r="D628" s="18"/>
    </row>
    <row r="629" ht="12.75">
      <c r="A629" s="1"/>
    </row>
    <row r="630" ht="12.75">
      <c r="A630" s="1" t="s">
        <v>283</v>
      </c>
    </row>
    <row r="631" spans="1:3" ht="12.75">
      <c r="A631" s="1" t="s">
        <v>284</v>
      </c>
      <c r="C631" t="s">
        <v>291</v>
      </c>
    </row>
    <row r="632" ht="12.75">
      <c r="A632" s="1"/>
    </row>
    <row r="633" ht="12.75">
      <c r="A633" s="1" t="s">
        <v>285</v>
      </c>
    </row>
    <row r="634" ht="12.75">
      <c r="A634" s="1"/>
    </row>
    <row r="635" ht="12.75">
      <c r="A635" s="1" t="s">
        <v>396</v>
      </c>
    </row>
    <row r="636" ht="12.75">
      <c r="A636" s="1" t="s">
        <v>287</v>
      </c>
    </row>
    <row r="637" ht="12.75">
      <c r="A637" s="9"/>
    </row>
    <row r="638" ht="12.75">
      <c r="A638" s="9"/>
    </row>
    <row r="639" spans="1:4" ht="37.5" customHeight="1">
      <c r="A639" s="49" t="s">
        <v>288</v>
      </c>
      <c r="B639" s="49"/>
      <c r="C639" s="49"/>
      <c r="D639" s="49"/>
    </row>
    <row r="640" ht="12.75">
      <c r="A640" s="10"/>
    </row>
    <row r="641" ht="12.75">
      <c r="A641" s="10"/>
    </row>
    <row r="642" ht="12.75">
      <c r="A642" s="10"/>
    </row>
    <row r="643" ht="12.75">
      <c r="A643" s="1" t="s">
        <v>286</v>
      </c>
    </row>
    <row r="644" ht="12.75">
      <c r="A644" s="1" t="s">
        <v>289</v>
      </c>
    </row>
    <row r="645" ht="12.75">
      <c r="A645" s="11"/>
    </row>
    <row r="648" spans="1:12" ht="15.75">
      <c r="A648" s="46" t="s">
        <v>262</v>
      </c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14"/>
    </row>
    <row r="649" spans="1:12" ht="15.75">
      <c r="A649" s="46" t="s">
        <v>291</v>
      </c>
      <c r="B649" s="46"/>
      <c r="C649" s="46"/>
      <c r="D649" s="46"/>
      <c r="E649" s="46"/>
      <c r="F649" s="46"/>
      <c r="G649" s="46"/>
      <c r="H649" s="46"/>
      <c r="I649" s="46"/>
      <c r="J649" s="46"/>
      <c r="K649" s="14"/>
      <c r="L649" s="14"/>
    </row>
    <row r="650" spans="1:12" ht="15.75">
      <c r="A650" s="46" t="s">
        <v>310</v>
      </c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</row>
    <row r="651" spans="1:12" ht="53.25" customHeight="1">
      <c r="A651" s="47" t="s">
        <v>290</v>
      </c>
      <c r="B651" s="47"/>
      <c r="C651" s="47"/>
      <c r="D651" s="47"/>
      <c r="E651" s="47"/>
      <c r="F651" s="47"/>
      <c r="G651" s="47"/>
      <c r="H651" s="47"/>
      <c r="I651" s="47"/>
      <c r="J651" s="47"/>
      <c r="K651" s="16"/>
      <c r="L651" s="16"/>
    </row>
    <row r="652" spans="1:12" ht="12.7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3"/>
      <c r="L652" s="13"/>
    </row>
    <row r="653" spans="1:12" ht="12.75">
      <c r="A653" s="18" t="s">
        <v>264</v>
      </c>
      <c r="B653" s="48" t="s">
        <v>266</v>
      </c>
      <c r="C653" s="48" t="s">
        <v>267</v>
      </c>
      <c r="D653" s="18" t="s">
        <v>268</v>
      </c>
      <c r="K653" s="13"/>
      <c r="L653" s="13"/>
    </row>
    <row r="654" spans="1:4" ht="12.75">
      <c r="A654" s="18" t="s">
        <v>265</v>
      </c>
      <c r="B654" s="48"/>
      <c r="C654" s="48"/>
      <c r="D654" s="18" t="s">
        <v>269</v>
      </c>
    </row>
    <row r="655" spans="1:4" ht="38.25">
      <c r="A655" s="19" t="s">
        <v>270</v>
      </c>
      <c r="B655" s="19" t="s">
        <v>271</v>
      </c>
      <c r="C655" s="19"/>
      <c r="D655" s="18">
        <f>D656+D657+D658+D659+D660+D661</f>
        <v>22030.04</v>
      </c>
    </row>
    <row r="656" spans="1:4" ht="38.25">
      <c r="A656" s="19" t="s">
        <v>19</v>
      </c>
      <c r="B656" s="20" t="s">
        <v>272</v>
      </c>
      <c r="C656" s="19"/>
      <c r="D656" s="18">
        <v>1046.95</v>
      </c>
    </row>
    <row r="657" spans="1:4" ht="38.25">
      <c r="A657" s="19" t="s">
        <v>20</v>
      </c>
      <c r="B657" s="20" t="s">
        <v>273</v>
      </c>
      <c r="C657" s="19"/>
      <c r="D657" s="18">
        <v>20983.09</v>
      </c>
    </row>
    <row r="658" spans="1:4" ht="38.25">
      <c r="A658" s="21" t="s">
        <v>293</v>
      </c>
      <c r="B658" s="20" t="s">
        <v>274</v>
      </c>
      <c r="C658" s="19"/>
      <c r="D658" s="18"/>
    </row>
    <row r="659" spans="1:4" ht="38.25">
      <c r="A659" s="21" t="s">
        <v>292</v>
      </c>
      <c r="B659" s="20" t="s">
        <v>275</v>
      </c>
      <c r="C659" s="19"/>
      <c r="D659" s="18"/>
    </row>
    <row r="660" spans="1:4" ht="38.25">
      <c r="A660" s="21" t="s">
        <v>294</v>
      </c>
      <c r="B660" s="20" t="s">
        <v>276</v>
      </c>
      <c r="C660" s="19"/>
      <c r="D660" s="18"/>
    </row>
    <row r="661" spans="1:4" ht="25.5">
      <c r="A661" s="21" t="s">
        <v>295</v>
      </c>
      <c r="B661" s="20" t="s">
        <v>277</v>
      </c>
      <c r="C661" s="19"/>
      <c r="D661" s="18"/>
    </row>
    <row r="662" spans="1:4" ht="12.75">
      <c r="A662" s="19" t="s">
        <v>278</v>
      </c>
      <c r="B662" s="19" t="s">
        <v>279</v>
      </c>
      <c r="C662" s="19"/>
      <c r="D662" s="18">
        <f>D663</f>
        <v>90264.79</v>
      </c>
    </row>
    <row r="663" spans="1:4" ht="38.25">
      <c r="A663" s="19" t="s">
        <v>280</v>
      </c>
      <c r="B663" s="19" t="s">
        <v>422</v>
      </c>
      <c r="C663" s="19"/>
      <c r="D663" s="18">
        <v>90264.79</v>
      </c>
    </row>
    <row r="664" spans="1:4" ht="12.75">
      <c r="A664" s="19" t="s">
        <v>281</v>
      </c>
      <c r="B664" s="19"/>
      <c r="C664" s="19"/>
      <c r="D664" s="18"/>
    </row>
    <row r="665" spans="1:4" ht="12.75">
      <c r="A665" s="19" t="s">
        <v>282</v>
      </c>
      <c r="B665" s="19"/>
      <c r="C665" s="19"/>
      <c r="D665" s="18"/>
    </row>
    <row r="666" ht="12.75">
      <c r="A666" s="1"/>
    </row>
    <row r="667" ht="12.75">
      <c r="A667" s="1" t="s">
        <v>283</v>
      </c>
    </row>
    <row r="668" spans="1:3" ht="12.75">
      <c r="A668" s="1" t="s">
        <v>284</v>
      </c>
      <c r="C668" t="s">
        <v>291</v>
      </c>
    </row>
    <row r="669" ht="12.75">
      <c r="A669" s="1"/>
    </row>
    <row r="670" ht="12.75">
      <c r="A670" s="1" t="s">
        <v>285</v>
      </c>
    </row>
    <row r="671" ht="12.75">
      <c r="A671" s="1"/>
    </row>
    <row r="672" ht="12.75">
      <c r="A672" s="1" t="s">
        <v>396</v>
      </c>
    </row>
    <row r="673" ht="12.75">
      <c r="A673" s="1" t="s">
        <v>287</v>
      </c>
    </row>
    <row r="674" ht="12.75">
      <c r="A674" s="9"/>
    </row>
    <row r="675" ht="12.75">
      <c r="A675" s="9"/>
    </row>
    <row r="676" spans="1:4" ht="37.5" customHeight="1">
      <c r="A676" s="49" t="s">
        <v>288</v>
      </c>
      <c r="B676" s="49"/>
      <c r="C676" s="49"/>
      <c r="D676" s="49"/>
    </row>
    <row r="677" ht="12.75">
      <c r="A677" s="10"/>
    </row>
    <row r="678" ht="12.75">
      <c r="A678" s="10"/>
    </row>
    <row r="679" ht="12.75" hidden="1">
      <c r="A679" s="10"/>
    </row>
    <row r="680" ht="12.75">
      <c r="A680" s="1" t="s">
        <v>286</v>
      </c>
    </row>
    <row r="681" ht="12.75">
      <c r="A681" s="1" t="s">
        <v>289</v>
      </c>
    </row>
    <row r="682" ht="12.75">
      <c r="A682" s="11"/>
    </row>
    <row r="683" ht="12.75" hidden="1"/>
    <row r="684" ht="12.75" customHeight="1"/>
    <row r="685" spans="1:12" ht="15.75">
      <c r="A685" s="46" t="s">
        <v>262</v>
      </c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14"/>
    </row>
    <row r="686" spans="1:12" ht="15.75">
      <c r="A686" s="46" t="s">
        <v>291</v>
      </c>
      <c r="B686" s="46"/>
      <c r="C686" s="46"/>
      <c r="D686" s="46"/>
      <c r="E686" s="46"/>
      <c r="F686" s="46"/>
      <c r="G686" s="46"/>
      <c r="H686" s="46"/>
      <c r="I686" s="46"/>
      <c r="J686" s="46"/>
      <c r="K686" s="14"/>
      <c r="L686" s="14"/>
    </row>
    <row r="687" spans="1:12" ht="15.75">
      <c r="A687" s="46" t="s">
        <v>311</v>
      </c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</row>
    <row r="688" spans="1:12" ht="51" customHeight="1">
      <c r="A688" s="47" t="s">
        <v>290</v>
      </c>
      <c r="B688" s="47"/>
      <c r="C688" s="47"/>
      <c r="D688" s="47"/>
      <c r="E688" s="47"/>
      <c r="F688" s="47"/>
      <c r="G688" s="47"/>
      <c r="H688" s="47"/>
      <c r="I688" s="47"/>
      <c r="J688" s="47"/>
      <c r="K688" s="16"/>
      <c r="L688" s="16"/>
    </row>
    <row r="689" spans="1:12" ht="12.7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3"/>
      <c r="L689" s="13"/>
    </row>
    <row r="690" spans="1:12" ht="12.75">
      <c r="A690" s="18" t="s">
        <v>264</v>
      </c>
      <c r="B690" s="48" t="s">
        <v>266</v>
      </c>
      <c r="C690" s="48" t="s">
        <v>267</v>
      </c>
      <c r="D690" s="18" t="s">
        <v>268</v>
      </c>
      <c r="K690" s="13"/>
      <c r="L690" s="13"/>
    </row>
    <row r="691" spans="1:4" ht="12.75">
      <c r="A691" s="18" t="s">
        <v>265</v>
      </c>
      <c r="B691" s="48"/>
      <c r="C691" s="48"/>
      <c r="D691" s="18" t="s">
        <v>269</v>
      </c>
    </row>
    <row r="692" spans="1:4" ht="38.25">
      <c r="A692" s="19" t="s">
        <v>270</v>
      </c>
      <c r="B692" s="19" t="s">
        <v>271</v>
      </c>
      <c r="C692" s="19"/>
      <c r="D692" s="18">
        <f>D693+D694+D695+D696+D697+D698</f>
        <v>115140.40000000001</v>
      </c>
    </row>
    <row r="693" spans="1:4" ht="38.25">
      <c r="A693" s="19" t="s">
        <v>19</v>
      </c>
      <c r="B693" s="20" t="s">
        <v>272</v>
      </c>
      <c r="C693" s="19"/>
      <c r="D693" s="18">
        <f>4354.77+84284</f>
        <v>88638.77</v>
      </c>
    </row>
    <row r="694" spans="1:4" ht="38.25">
      <c r="A694" s="19" t="s">
        <v>20</v>
      </c>
      <c r="B694" s="20" t="s">
        <v>273</v>
      </c>
      <c r="C694" s="19"/>
      <c r="D694" s="18">
        <f>730.07+21347.64+3259.29</f>
        <v>25337</v>
      </c>
    </row>
    <row r="695" spans="1:4" ht="38.25">
      <c r="A695" s="21" t="s">
        <v>293</v>
      </c>
      <c r="B695" s="20" t="s">
        <v>274</v>
      </c>
      <c r="C695" s="19"/>
      <c r="D695" s="18">
        <f>365</f>
        <v>365</v>
      </c>
    </row>
    <row r="696" spans="1:4" ht="38.25">
      <c r="A696" s="21" t="s">
        <v>292</v>
      </c>
      <c r="B696" s="20" t="s">
        <v>275</v>
      </c>
      <c r="C696" s="19"/>
      <c r="D696" s="18">
        <v>799.63</v>
      </c>
    </row>
    <row r="697" spans="1:4" ht="38.25">
      <c r="A697" s="21" t="s">
        <v>294</v>
      </c>
      <c r="B697" s="20" t="s">
        <v>276</v>
      </c>
      <c r="C697" s="19"/>
      <c r="D697" s="18"/>
    </row>
    <row r="698" spans="1:4" ht="25.5">
      <c r="A698" s="21" t="s">
        <v>295</v>
      </c>
      <c r="B698" s="20" t="s">
        <v>277</v>
      </c>
      <c r="C698" s="19"/>
      <c r="D698" s="18"/>
    </row>
    <row r="699" spans="1:4" ht="12.75">
      <c r="A699" s="19" t="s">
        <v>278</v>
      </c>
      <c r="B699" s="19" t="s">
        <v>279</v>
      </c>
      <c r="C699" s="19"/>
      <c r="D699" s="18">
        <f>D700</f>
        <v>150109.57</v>
      </c>
    </row>
    <row r="700" spans="1:4" ht="38.25">
      <c r="A700" s="19" t="s">
        <v>280</v>
      </c>
      <c r="B700" s="19" t="s">
        <v>422</v>
      </c>
      <c r="C700" s="19"/>
      <c r="D700" s="18">
        <v>150109.57</v>
      </c>
    </row>
    <row r="701" spans="1:4" ht="12.75">
      <c r="A701" s="19" t="s">
        <v>281</v>
      </c>
      <c r="B701" s="19"/>
      <c r="C701" s="19"/>
      <c r="D701" s="18"/>
    </row>
    <row r="702" spans="1:4" ht="12.75">
      <c r="A702" s="19" t="s">
        <v>282</v>
      </c>
      <c r="B702" s="19"/>
      <c r="C702" s="19"/>
      <c r="D702" s="18"/>
    </row>
    <row r="703" ht="12.75">
      <c r="A703" s="1"/>
    </row>
    <row r="704" ht="12.75">
      <c r="A704" s="1" t="s">
        <v>283</v>
      </c>
    </row>
    <row r="705" spans="1:3" ht="12.75">
      <c r="A705" s="1" t="s">
        <v>284</v>
      </c>
      <c r="C705" t="s">
        <v>291</v>
      </c>
    </row>
    <row r="706" ht="12.75">
      <c r="A706" s="1"/>
    </row>
    <row r="707" ht="12.75">
      <c r="A707" s="1" t="s">
        <v>285</v>
      </c>
    </row>
    <row r="708" ht="12.75">
      <c r="A708" s="1"/>
    </row>
    <row r="709" ht="12.75">
      <c r="A709" s="1" t="s">
        <v>396</v>
      </c>
    </row>
    <row r="710" ht="12.75">
      <c r="A710" s="1" t="s">
        <v>287</v>
      </c>
    </row>
    <row r="711" ht="12.75">
      <c r="A711" s="9"/>
    </row>
    <row r="712" ht="12.75">
      <c r="A712" s="9"/>
    </row>
    <row r="713" spans="1:4" ht="39.75" customHeight="1">
      <c r="A713" s="49" t="s">
        <v>288</v>
      </c>
      <c r="B713" s="49"/>
      <c r="C713" s="49"/>
      <c r="D713" s="49"/>
    </row>
    <row r="714" ht="12.75">
      <c r="A714" s="10"/>
    </row>
    <row r="715" ht="12.75">
      <c r="A715" s="10"/>
    </row>
    <row r="716" ht="12.75">
      <c r="A716" s="10"/>
    </row>
    <row r="717" ht="12.75">
      <c r="A717" s="1" t="s">
        <v>286</v>
      </c>
    </row>
    <row r="718" ht="12.75">
      <c r="A718" s="1" t="s">
        <v>289</v>
      </c>
    </row>
    <row r="719" ht="12.75">
      <c r="A719" s="11"/>
    </row>
    <row r="722" spans="1:12" ht="15.75">
      <c r="A722" s="46" t="s">
        <v>262</v>
      </c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14"/>
    </row>
    <row r="723" spans="1:12" ht="15.75">
      <c r="A723" s="46" t="s">
        <v>291</v>
      </c>
      <c r="B723" s="46"/>
      <c r="C723" s="46"/>
      <c r="D723" s="46"/>
      <c r="E723" s="46"/>
      <c r="F723" s="46"/>
      <c r="G723" s="46"/>
      <c r="H723" s="46"/>
      <c r="I723" s="46"/>
      <c r="J723" s="46"/>
      <c r="K723" s="14"/>
      <c r="L723" s="14"/>
    </row>
    <row r="724" spans="1:12" ht="15.75">
      <c r="A724" s="46" t="s">
        <v>312</v>
      </c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</row>
    <row r="725" spans="1:12" ht="53.25" customHeight="1">
      <c r="A725" s="47" t="s">
        <v>290</v>
      </c>
      <c r="B725" s="47"/>
      <c r="C725" s="47"/>
      <c r="D725" s="47"/>
      <c r="E725" s="47"/>
      <c r="F725" s="47"/>
      <c r="G725" s="47"/>
      <c r="H725" s="47"/>
      <c r="I725" s="47"/>
      <c r="J725" s="47"/>
      <c r="K725" s="16"/>
      <c r="L725" s="16"/>
    </row>
    <row r="726" spans="1:12" ht="12.7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3"/>
      <c r="L726" s="13"/>
    </row>
    <row r="727" spans="1:12" ht="12.75">
      <c r="A727" s="18" t="s">
        <v>264</v>
      </c>
      <c r="B727" s="48" t="s">
        <v>266</v>
      </c>
      <c r="C727" s="48" t="s">
        <v>267</v>
      </c>
      <c r="D727" s="18" t="s">
        <v>268</v>
      </c>
      <c r="K727" s="13"/>
      <c r="L727" s="13"/>
    </row>
    <row r="728" spans="1:4" ht="12.75">
      <c r="A728" s="18" t="s">
        <v>265</v>
      </c>
      <c r="B728" s="48"/>
      <c r="C728" s="48"/>
      <c r="D728" s="18" t="s">
        <v>269</v>
      </c>
    </row>
    <row r="729" spans="1:4" ht="38.25">
      <c r="A729" s="19" t="s">
        <v>270</v>
      </c>
      <c r="B729" s="19" t="s">
        <v>271</v>
      </c>
      <c r="C729" s="19"/>
      <c r="D729" s="18">
        <f>D730+D731+D732+D733+D734+D735</f>
        <v>59113.68</v>
      </c>
    </row>
    <row r="730" spans="1:4" ht="38.25">
      <c r="A730" s="19" t="s">
        <v>19</v>
      </c>
      <c r="B730" s="20" t="s">
        <v>272</v>
      </c>
      <c r="C730" s="19"/>
      <c r="D730" s="18">
        <f>18046.24+2856.74+1155.03+9367</f>
        <v>31425.010000000002</v>
      </c>
    </row>
    <row r="731" spans="1:4" ht="38.25">
      <c r="A731" s="19" t="s">
        <v>20</v>
      </c>
      <c r="B731" s="20" t="s">
        <v>273</v>
      </c>
      <c r="C731" s="19"/>
      <c r="D731" s="18">
        <f>23000.83+2516.18</f>
        <v>25517.010000000002</v>
      </c>
    </row>
    <row r="732" spans="1:4" ht="38.25">
      <c r="A732" s="21" t="s">
        <v>293</v>
      </c>
      <c r="B732" s="20" t="s">
        <v>274</v>
      </c>
      <c r="C732" s="19"/>
      <c r="D732" s="18">
        <f>482+399.81</f>
        <v>881.81</v>
      </c>
    </row>
    <row r="733" spans="1:4" ht="38.25">
      <c r="A733" s="21" t="s">
        <v>292</v>
      </c>
      <c r="B733" s="20" t="s">
        <v>275</v>
      </c>
      <c r="C733" s="19"/>
      <c r="D733" s="18">
        <f>482+399.82</f>
        <v>881.8199999999999</v>
      </c>
    </row>
    <row r="734" spans="1:4" ht="38.25">
      <c r="A734" s="21" t="s">
        <v>294</v>
      </c>
      <c r="B734" s="20" t="s">
        <v>276</v>
      </c>
      <c r="C734" s="19"/>
      <c r="D734" s="18"/>
    </row>
    <row r="735" spans="1:4" ht="25.5">
      <c r="A735" s="21" t="s">
        <v>295</v>
      </c>
      <c r="B735" s="20" t="s">
        <v>277</v>
      </c>
      <c r="C735" s="19"/>
      <c r="D735" s="18">
        <v>408.03</v>
      </c>
    </row>
    <row r="736" spans="1:4" ht="12.75">
      <c r="A736" s="19" t="s">
        <v>278</v>
      </c>
      <c r="B736" s="19" t="s">
        <v>279</v>
      </c>
      <c r="C736" s="19"/>
      <c r="D736" s="18">
        <f>D737</f>
        <v>88665.2</v>
      </c>
    </row>
    <row r="737" spans="1:4" ht="38.25">
      <c r="A737" s="19" t="s">
        <v>280</v>
      </c>
      <c r="B737" s="19" t="s">
        <v>422</v>
      </c>
      <c r="C737" s="19"/>
      <c r="D737" s="18">
        <v>88665.2</v>
      </c>
    </row>
    <row r="738" spans="1:4" ht="12.75">
      <c r="A738" s="19" t="s">
        <v>281</v>
      </c>
      <c r="B738" s="19"/>
      <c r="C738" s="19"/>
      <c r="D738" s="18"/>
    </row>
    <row r="739" spans="1:4" ht="12.75">
      <c r="A739" s="19" t="s">
        <v>282</v>
      </c>
      <c r="B739" s="19"/>
      <c r="C739" s="19"/>
      <c r="D739" s="18"/>
    </row>
    <row r="740" ht="12.75">
      <c r="A740" s="1"/>
    </row>
    <row r="741" ht="12.75">
      <c r="A741" s="1" t="s">
        <v>283</v>
      </c>
    </row>
    <row r="742" spans="1:3" ht="12.75">
      <c r="A742" s="1" t="s">
        <v>284</v>
      </c>
      <c r="C742" t="s">
        <v>291</v>
      </c>
    </row>
    <row r="743" ht="12.75">
      <c r="A743" s="1"/>
    </row>
    <row r="744" ht="12.75">
      <c r="A744" s="1" t="s">
        <v>285</v>
      </c>
    </row>
    <row r="745" ht="12.75">
      <c r="A745" s="1"/>
    </row>
    <row r="746" ht="12.75">
      <c r="A746" s="1" t="s">
        <v>396</v>
      </c>
    </row>
    <row r="747" ht="12.75">
      <c r="A747" s="1" t="s">
        <v>287</v>
      </c>
    </row>
    <row r="748" ht="2.25" customHeight="1">
      <c r="A748" s="9"/>
    </row>
    <row r="749" ht="12.75" customHeight="1" hidden="1">
      <c r="A749" s="9"/>
    </row>
    <row r="750" spans="1:4" ht="37.5" customHeight="1">
      <c r="A750" s="49" t="s">
        <v>288</v>
      </c>
      <c r="B750" s="49"/>
      <c r="C750" s="49"/>
      <c r="D750" s="49"/>
    </row>
    <row r="751" ht="12.75">
      <c r="A751" s="10"/>
    </row>
    <row r="752" ht="12.75">
      <c r="A752" s="10"/>
    </row>
    <row r="753" ht="12.75">
      <c r="A753" s="10"/>
    </row>
    <row r="754" ht="12.75">
      <c r="A754" s="1" t="s">
        <v>286</v>
      </c>
    </row>
    <row r="755" ht="12.75">
      <c r="A755" s="1" t="s">
        <v>289</v>
      </c>
    </row>
    <row r="756" ht="12.75">
      <c r="A756" s="11"/>
    </row>
    <row r="759" spans="1:12" ht="15.75">
      <c r="A759" s="46" t="s">
        <v>262</v>
      </c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14"/>
    </row>
    <row r="760" spans="1:12" ht="15.75">
      <c r="A760" s="46" t="s">
        <v>291</v>
      </c>
      <c r="B760" s="46"/>
      <c r="C760" s="46"/>
      <c r="D760" s="46"/>
      <c r="E760" s="46"/>
      <c r="F760" s="46"/>
      <c r="G760" s="46"/>
      <c r="H760" s="46"/>
      <c r="I760" s="46"/>
      <c r="J760" s="46"/>
      <c r="K760" s="14"/>
      <c r="L760" s="14"/>
    </row>
    <row r="761" spans="1:12" ht="15.75">
      <c r="A761" s="46" t="s">
        <v>313</v>
      </c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</row>
    <row r="762" spans="1:12" ht="54.75" customHeight="1">
      <c r="A762" s="47" t="s">
        <v>290</v>
      </c>
      <c r="B762" s="47"/>
      <c r="C762" s="47"/>
      <c r="D762" s="47"/>
      <c r="E762" s="47"/>
      <c r="F762" s="47"/>
      <c r="G762" s="47"/>
      <c r="H762" s="47"/>
      <c r="I762" s="47"/>
      <c r="J762" s="47"/>
      <c r="K762" s="16"/>
      <c r="L762" s="16"/>
    </row>
    <row r="763" spans="1:12" ht="12.7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3"/>
      <c r="L763" s="13"/>
    </row>
    <row r="764" spans="1:12" ht="12.75">
      <c r="A764" s="18" t="s">
        <v>264</v>
      </c>
      <c r="B764" s="48" t="s">
        <v>266</v>
      </c>
      <c r="C764" s="48" t="s">
        <v>267</v>
      </c>
      <c r="D764" s="18" t="s">
        <v>268</v>
      </c>
      <c r="K764" s="13"/>
      <c r="L764" s="13"/>
    </row>
    <row r="765" spans="1:4" ht="12.75">
      <c r="A765" s="18" t="s">
        <v>265</v>
      </c>
      <c r="B765" s="48"/>
      <c r="C765" s="48"/>
      <c r="D765" s="18" t="s">
        <v>269</v>
      </c>
    </row>
    <row r="766" spans="1:4" ht="38.25">
      <c r="A766" s="19" t="s">
        <v>270</v>
      </c>
      <c r="B766" s="19" t="s">
        <v>271</v>
      </c>
      <c r="C766" s="19"/>
      <c r="D766" s="18">
        <f>D767+D768+D769+D770+D771+D772+D773</f>
        <v>13672.23</v>
      </c>
    </row>
    <row r="767" spans="1:4" ht="38.25">
      <c r="A767" s="19" t="s">
        <v>19</v>
      </c>
      <c r="B767" s="20" t="s">
        <v>272</v>
      </c>
      <c r="C767" s="19"/>
      <c r="D767" s="18">
        <v>3100.62</v>
      </c>
    </row>
    <row r="768" spans="1:4" ht="38.25">
      <c r="A768" s="19" t="s">
        <v>20</v>
      </c>
      <c r="B768" s="20" t="s">
        <v>273</v>
      </c>
      <c r="C768" s="19"/>
      <c r="D768" s="18">
        <f>3000</f>
        <v>3000</v>
      </c>
    </row>
    <row r="769" spans="1:4" ht="38.25">
      <c r="A769" s="21" t="s">
        <v>293</v>
      </c>
      <c r="B769" s="20" t="s">
        <v>274</v>
      </c>
      <c r="C769" s="19"/>
      <c r="D769" s="18">
        <v>458</v>
      </c>
    </row>
    <row r="770" spans="1:4" ht="38.25">
      <c r="A770" s="21" t="s">
        <v>292</v>
      </c>
      <c r="B770" s="20" t="s">
        <v>275</v>
      </c>
      <c r="C770" s="19"/>
      <c r="D770" s="18">
        <v>458</v>
      </c>
    </row>
    <row r="771" spans="1:4" ht="38.25">
      <c r="A771" s="21" t="s">
        <v>294</v>
      </c>
      <c r="B771" s="20" t="s">
        <v>276</v>
      </c>
      <c r="C771" s="19"/>
      <c r="D771" s="18">
        <v>5244.11</v>
      </c>
    </row>
    <row r="772" spans="1:4" ht="25.5">
      <c r="A772" s="21" t="s">
        <v>295</v>
      </c>
      <c r="B772" s="20" t="s">
        <v>277</v>
      </c>
      <c r="C772" s="19"/>
      <c r="D772" s="18">
        <f>435.37+458.35+517.78</f>
        <v>1411.5</v>
      </c>
    </row>
    <row r="773" spans="1:4" ht="12.75">
      <c r="A773" s="21"/>
      <c r="B773" s="19"/>
      <c r="C773" s="19"/>
      <c r="D773" s="18"/>
    </row>
    <row r="774" spans="1:4" ht="12.75">
      <c r="A774" s="19" t="s">
        <v>278</v>
      </c>
      <c r="B774" s="19" t="s">
        <v>279</v>
      </c>
      <c r="C774" s="19"/>
      <c r="D774" s="18">
        <f>D775</f>
        <v>0</v>
      </c>
    </row>
    <row r="775" spans="1:4" ht="12.75">
      <c r="A775" s="19" t="s">
        <v>280</v>
      </c>
      <c r="B775" s="19"/>
      <c r="C775" s="19"/>
      <c r="D775" s="18"/>
    </row>
    <row r="776" spans="1:4" ht="12.75">
      <c r="A776" s="19" t="s">
        <v>281</v>
      </c>
      <c r="B776" s="19"/>
      <c r="C776" s="19"/>
      <c r="D776" s="18"/>
    </row>
    <row r="777" spans="1:4" ht="12.75">
      <c r="A777" s="19" t="s">
        <v>282</v>
      </c>
      <c r="B777" s="19"/>
      <c r="C777" s="19"/>
      <c r="D777" s="18"/>
    </row>
    <row r="778" ht="12.75">
      <c r="A778" s="1"/>
    </row>
    <row r="779" ht="12.75">
      <c r="A779" s="1" t="s">
        <v>283</v>
      </c>
    </row>
    <row r="780" spans="1:3" ht="12.75">
      <c r="A780" s="1" t="s">
        <v>284</v>
      </c>
      <c r="C780" t="s">
        <v>291</v>
      </c>
    </row>
    <row r="781" ht="12.75">
      <c r="A781" s="1"/>
    </row>
    <row r="782" ht="12.75">
      <c r="A782" s="1" t="s">
        <v>285</v>
      </c>
    </row>
    <row r="783" ht="12.75">
      <c r="A783" s="1"/>
    </row>
    <row r="784" ht="12.75">
      <c r="A784" s="1" t="s">
        <v>396</v>
      </c>
    </row>
    <row r="785" ht="12.75">
      <c r="A785" s="1" t="s">
        <v>287</v>
      </c>
    </row>
    <row r="786" ht="12.75">
      <c r="A786" s="9"/>
    </row>
    <row r="787" ht="12.75">
      <c r="A787" s="9"/>
    </row>
    <row r="788" spans="1:4" ht="36.75" customHeight="1">
      <c r="A788" s="49" t="s">
        <v>288</v>
      </c>
      <c r="B788" s="49"/>
      <c r="C788" s="49"/>
      <c r="D788" s="49"/>
    </row>
    <row r="789" ht="1.5" customHeight="1">
      <c r="A789" s="10"/>
    </row>
    <row r="790" ht="5.25" customHeight="1" hidden="1">
      <c r="A790" s="10"/>
    </row>
    <row r="791" ht="12.75">
      <c r="A791" s="10"/>
    </row>
    <row r="792" ht="12.75">
      <c r="A792" s="1" t="s">
        <v>286</v>
      </c>
    </row>
    <row r="793" ht="12.75">
      <c r="A793" s="1" t="s">
        <v>289</v>
      </c>
    </row>
    <row r="794" ht="12.75">
      <c r="A794" s="11"/>
    </row>
    <row r="796" ht="1.5" customHeight="1"/>
    <row r="797" spans="1:12" ht="15.75">
      <c r="A797" s="46" t="s">
        <v>262</v>
      </c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14"/>
    </row>
    <row r="798" spans="1:12" ht="15.75">
      <c r="A798" s="46" t="s">
        <v>291</v>
      </c>
      <c r="B798" s="46"/>
      <c r="C798" s="46"/>
      <c r="D798" s="46"/>
      <c r="E798" s="46"/>
      <c r="F798" s="46"/>
      <c r="G798" s="46"/>
      <c r="H798" s="46"/>
      <c r="I798" s="46"/>
      <c r="J798" s="46"/>
      <c r="K798" s="14"/>
      <c r="L798" s="14"/>
    </row>
    <row r="799" spans="1:12" ht="15.75">
      <c r="A799" s="46" t="s">
        <v>314</v>
      </c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</row>
    <row r="800" spans="1:12" ht="52.5" customHeight="1">
      <c r="A800" s="47" t="s">
        <v>290</v>
      </c>
      <c r="B800" s="47"/>
      <c r="C800" s="47"/>
      <c r="D800" s="47"/>
      <c r="E800" s="47"/>
      <c r="F800" s="47"/>
      <c r="G800" s="47"/>
      <c r="H800" s="47"/>
      <c r="I800" s="47"/>
      <c r="J800" s="47"/>
      <c r="K800" s="16"/>
      <c r="L800" s="16"/>
    </row>
    <row r="801" spans="1:12" ht="12.7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3"/>
      <c r="L801" s="13"/>
    </row>
    <row r="802" spans="1:12" ht="12.75">
      <c r="A802" s="18" t="s">
        <v>264</v>
      </c>
      <c r="B802" s="48" t="s">
        <v>266</v>
      </c>
      <c r="C802" s="48" t="s">
        <v>267</v>
      </c>
      <c r="D802" s="18" t="s">
        <v>268</v>
      </c>
      <c r="K802" s="13"/>
      <c r="L802" s="13"/>
    </row>
    <row r="803" spans="1:4" ht="12.75">
      <c r="A803" s="18" t="s">
        <v>265</v>
      </c>
      <c r="B803" s="48"/>
      <c r="C803" s="48"/>
      <c r="D803" s="18" t="s">
        <v>269</v>
      </c>
    </row>
    <row r="804" spans="1:4" ht="38.25">
      <c r="A804" s="19" t="s">
        <v>270</v>
      </c>
      <c r="B804" s="19" t="s">
        <v>271</v>
      </c>
      <c r="C804" s="19"/>
      <c r="D804" s="25">
        <f>SUM(D805:D810)</f>
        <v>229259.64</v>
      </c>
    </row>
    <row r="805" spans="1:4" ht="38.25">
      <c r="A805" s="19" t="s">
        <v>19</v>
      </c>
      <c r="B805" s="20" t="s">
        <v>272</v>
      </c>
      <c r="C805" s="19"/>
      <c r="D805" s="18">
        <f>3958+203789</f>
        <v>207747</v>
      </c>
    </row>
    <row r="806" spans="1:4" ht="38.25">
      <c r="A806" s="19" t="s">
        <v>20</v>
      </c>
      <c r="B806" s="20" t="s">
        <v>273</v>
      </c>
      <c r="C806" s="19"/>
      <c r="D806" s="18"/>
    </row>
    <row r="807" spans="1:4" ht="38.25">
      <c r="A807" s="21" t="s">
        <v>293</v>
      </c>
      <c r="B807" s="20" t="s">
        <v>274</v>
      </c>
      <c r="C807" s="19"/>
      <c r="D807" s="18"/>
    </row>
    <row r="808" spans="1:4" ht="38.25">
      <c r="A808" s="21" t="s">
        <v>292</v>
      </c>
      <c r="B808" s="20" t="s">
        <v>275</v>
      </c>
      <c r="C808" s="19"/>
      <c r="D808" s="18">
        <v>21512.64</v>
      </c>
    </row>
    <row r="809" spans="1:4" ht="38.25">
      <c r="A809" s="21" t="s">
        <v>294</v>
      </c>
      <c r="B809" s="20" t="s">
        <v>276</v>
      </c>
      <c r="C809" s="19"/>
      <c r="D809" s="18"/>
    </row>
    <row r="810" spans="1:4" ht="25.5">
      <c r="A810" s="21" t="s">
        <v>295</v>
      </c>
      <c r="B810" s="20" t="s">
        <v>277</v>
      </c>
      <c r="C810" s="19"/>
      <c r="D810" s="18"/>
    </row>
    <row r="811" spans="1:4" ht="12.75">
      <c r="A811" s="19" t="s">
        <v>278</v>
      </c>
      <c r="B811" s="19" t="s">
        <v>279</v>
      </c>
      <c r="C811" s="19"/>
      <c r="D811" s="18">
        <f>D812</f>
        <v>0</v>
      </c>
    </row>
    <row r="812" spans="1:4" ht="12.75">
      <c r="A812" s="19" t="s">
        <v>280</v>
      </c>
      <c r="B812" s="19"/>
      <c r="C812" s="19"/>
      <c r="D812" s="18"/>
    </row>
    <row r="813" spans="1:4" ht="12.75">
      <c r="A813" s="19" t="s">
        <v>281</v>
      </c>
      <c r="B813" s="19"/>
      <c r="C813" s="19"/>
      <c r="D813" s="18"/>
    </row>
    <row r="814" spans="1:4" ht="12.75">
      <c r="A814" s="19" t="s">
        <v>282</v>
      </c>
      <c r="B814" s="19"/>
      <c r="C814" s="19"/>
      <c r="D814" s="18"/>
    </row>
    <row r="815" ht="12.75">
      <c r="A815" s="1"/>
    </row>
    <row r="816" ht="12.75">
      <c r="A816" s="1" t="s">
        <v>283</v>
      </c>
    </row>
    <row r="817" spans="1:3" ht="12.75">
      <c r="A817" s="1" t="s">
        <v>284</v>
      </c>
      <c r="C817" t="s">
        <v>291</v>
      </c>
    </row>
    <row r="818" ht="12.75">
      <c r="A818" s="1"/>
    </row>
    <row r="819" ht="12.75">
      <c r="A819" s="1" t="s">
        <v>285</v>
      </c>
    </row>
    <row r="820" ht="12.75">
      <c r="A820" s="1"/>
    </row>
    <row r="821" ht="12.75">
      <c r="A821" s="1" t="s">
        <v>396</v>
      </c>
    </row>
    <row r="822" ht="12.75">
      <c r="A822" s="1" t="s">
        <v>287</v>
      </c>
    </row>
    <row r="823" ht="12.75">
      <c r="A823" s="9"/>
    </row>
    <row r="824" ht="12.75">
      <c r="A824" s="9"/>
    </row>
    <row r="825" spans="1:4" ht="35.25" customHeight="1">
      <c r="A825" s="49" t="s">
        <v>288</v>
      </c>
      <c r="B825" s="49"/>
      <c r="C825" s="49"/>
      <c r="D825" s="49"/>
    </row>
    <row r="826" ht="12.75">
      <c r="A826" s="10"/>
    </row>
    <row r="827" ht="12.75">
      <c r="A827" s="10"/>
    </row>
    <row r="828" ht="12.75">
      <c r="A828" s="10"/>
    </row>
    <row r="829" ht="12.75">
      <c r="A829" s="1" t="s">
        <v>286</v>
      </c>
    </row>
    <row r="830" ht="60" customHeight="1">
      <c r="A830" s="1" t="s">
        <v>289</v>
      </c>
    </row>
    <row r="831" ht="12.75" hidden="1"/>
    <row r="832" spans="1:12" ht="15.75">
      <c r="A832" s="46" t="s">
        <v>262</v>
      </c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14"/>
    </row>
    <row r="833" spans="1:12" ht="15.75">
      <c r="A833" s="46" t="s">
        <v>291</v>
      </c>
      <c r="B833" s="46"/>
      <c r="C833" s="46"/>
      <c r="D833" s="46"/>
      <c r="E833" s="46"/>
      <c r="F833" s="46"/>
      <c r="G833" s="46"/>
      <c r="H833" s="46"/>
      <c r="I833" s="46"/>
      <c r="J833" s="46"/>
      <c r="K833" s="14"/>
      <c r="L833" s="14"/>
    </row>
    <row r="834" spans="1:12" ht="15.75">
      <c r="A834" s="46" t="s">
        <v>315</v>
      </c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</row>
    <row r="835" spans="1:12" ht="52.5" customHeight="1">
      <c r="A835" s="47" t="s">
        <v>290</v>
      </c>
      <c r="B835" s="47"/>
      <c r="C835" s="47"/>
      <c r="D835" s="47"/>
      <c r="E835" s="47"/>
      <c r="F835" s="47"/>
      <c r="G835" s="47"/>
      <c r="H835" s="47"/>
      <c r="I835" s="47"/>
      <c r="J835" s="47"/>
      <c r="K835" s="16"/>
      <c r="L835" s="16"/>
    </row>
    <row r="836" spans="1:12" ht="12.7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3"/>
      <c r="L836" s="13"/>
    </row>
    <row r="837" spans="1:12" ht="12.75">
      <c r="A837" s="18" t="s">
        <v>264</v>
      </c>
      <c r="B837" s="48" t="s">
        <v>266</v>
      </c>
      <c r="C837" s="48" t="s">
        <v>267</v>
      </c>
      <c r="D837" s="18" t="s">
        <v>268</v>
      </c>
      <c r="K837" s="13"/>
      <c r="L837" s="13"/>
    </row>
    <row r="838" spans="1:4" ht="12.75">
      <c r="A838" s="18" t="s">
        <v>265</v>
      </c>
      <c r="B838" s="48"/>
      <c r="C838" s="48"/>
      <c r="D838" s="18" t="s">
        <v>269</v>
      </c>
    </row>
    <row r="839" spans="1:4" ht="38.25">
      <c r="A839" s="19" t="s">
        <v>270</v>
      </c>
      <c r="B839" s="19" t="s">
        <v>271</v>
      </c>
      <c r="C839" s="19"/>
      <c r="D839" s="18">
        <f>D840+D841+D842+D843+D844+D845</f>
        <v>0</v>
      </c>
    </row>
    <row r="840" spans="1:4" ht="38.25">
      <c r="A840" s="19" t="s">
        <v>19</v>
      </c>
      <c r="B840" s="20" t="s">
        <v>272</v>
      </c>
      <c r="C840" s="19"/>
      <c r="D840" s="18"/>
    </row>
    <row r="841" spans="1:4" ht="38.25">
      <c r="A841" s="19" t="s">
        <v>20</v>
      </c>
      <c r="B841" s="20" t="s">
        <v>273</v>
      </c>
      <c r="C841" s="19"/>
      <c r="D841" s="18"/>
    </row>
    <row r="842" spans="1:4" ht="38.25">
      <c r="A842" s="21" t="s">
        <v>293</v>
      </c>
      <c r="B842" s="20" t="s">
        <v>274</v>
      </c>
      <c r="C842" s="19"/>
      <c r="D842" s="18"/>
    </row>
    <row r="843" spans="1:4" ht="38.25">
      <c r="A843" s="21" t="s">
        <v>292</v>
      </c>
      <c r="B843" s="20" t="s">
        <v>275</v>
      </c>
      <c r="C843" s="19"/>
      <c r="D843" s="18"/>
    </row>
    <row r="844" spans="1:4" ht="38.25">
      <c r="A844" s="21" t="s">
        <v>294</v>
      </c>
      <c r="B844" s="20" t="s">
        <v>276</v>
      </c>
      <c r="C844" s="19"/>
      <c r="D844" s="18"/>
    </row>
    <row r="845" spans="1:4" ht="25.5">
      <c r="A845" s="21" t="s">
        <v>295</v>
      </c>
      <c r="B845" s="20" t="s">
        <v>277</v>
      </c>
      <c r="C845" s="19"/>
      <c r="D845" s="18"/>
    </row>
    <row r="846" spans="1:4" ht="12.75">
      <c r="A846" s="19" t="s">
        <v>278</v>
      </c>
      <c r="B846" s="19" t="s">
        <v>279</v>
      </c>
      <c r="C846" s="19"/>
      <c r="D846" s="18">
        <f>D847+D848</f>
        <v>0</v>
      </c>
    </row>
    <row r="847" spans="1:4" ht="12.75">
      <c r="A847" s="19" t="s">
        <v>280</v>
      </c>
      <c r="B847" s="20"/>
      <c r="C847" s="19"/>
      <c r="D847" s="18"/>
    </row>
    <row r="848" spans="1:4" ht="12.75">
      <c r="A848" s="19" t="s">
        <v>281</v>
      </c>
      <c r="B848" s="19"/>
      <c r="C848" s="19"/>
      <c r="D848" s="18"/>
    </row>
    <row r="849" spans="1:4" ht="12.75">
      <c r="A849" s="19" t="s">
        <v>282</v>
      </c>
      <c r="B849" s="19"/>
      <c r="C849" s="19"/>
      <c r="D849" s="18"/>
    </row>
    <row r="850" ht="12.75">
      <c r="A850" s="1"/>
    </row>
    <row r="851" ht="12.75">
      <c r="A851" s="1" t="s">
        <v>283</v>
      </c>
    </row>
    <row r="852" spans="1:3" ht="12.75">
      <c r="A852" s="1" t="s">
        <v>284</v>
      </c>
      <c r="C852" t="s">
        <v>291</v>
      </c>
    </row>
    <row r="853" ht="12.75">
      <c r="A853" s="1"/>
    </row>
    <row r="854" ht="12.75">
      <c r="A854" s="1" t="s">
        <v>285</v>
      </c>
    </row>
    <row r="855" ht="12.75">
      <c r="A855" s="1"/>
    </row>
    <row r="856" ht="12.75">
      <c r="A856" s="1" t="s">
        <v>396</v>
      </c>
    </row>
    <row r="857" ht="12.75">
      <c r="A857" s="1" t="s">
        <v>287</v>
      </c>
    </row>
    <row r="858" ht="12.75">
      <c r="A858" s="9"/>
    </row>
    <row r="859" ht="12.75">
      <c r="A859" s="9"/>
    </row>
    <row r="860" spans="1:4" ht="36" customHeight="1">
      <c r="A860" s="49" t="s">
        <v>288</v>
      </c>
      <c r="B860" s="49"/>
      <c r="C860" s="49"/>
      <c r="D860" s="49"/>
    </row>
    <row r="861" ht="12.75">
      <c r="A861" s="10"/>
    </row>
    <row r="862" ht="12.75">
      <c r="A862" s="10"/>
    </row>
    <row r="863" ht="12.75">
      <c r="A863" s="10"/>
    </row>
    <row r="864" ht="12.75">
      <c r="A864" s="1" t="s">
        <v>286</v>
      </c>
    </row>
    <row r="865" ht="12.75">
      <c r="A865" s="1" t="s">
        <v>289</v>
      </c>
    </row>
    <row r="866" ht="12" customHeight="1">
      <c r="A866" s="11"/>
    </row>
    <row r="867" ht="12.75" hidden="1"/>
    <row r="868" ht="30" customHeight="1"/>
    <row r="869" spans="1:12" ht="15.75">
      <c r="A869" s="46" t="s">
        <v>262</v>
      </c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14"/>
    </row>
    <row r="870" spans="1:12" ht="15.75">
      <c r="A870" s="46" t="s">
        <v>291</v>
      </c>
      <c r="B870" s="46"/>
      <c r="C870" s="46"/>
      <c r="D870" s="46"/>
      <c r="E870" s="46"/>
      <c r="F870" s="46"/>
      <c r="G870" s="46"/>
      <c r="H870" s="46"/>
      <c r="I870" s="46"/>
      <c r="J870" s="46"/>
      <c r="K870" s="14"/>
      <c r="L870" s="14"/>
    </row>
    <row r="871" spans="1:12" ht="15.75">
      <c r="A871" s="46" t="s">
        <v>316</v>
      </c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</row>
    <row r="872" spans="1:12" ht="54" customHeight="1">
      <c r="A872" s="47" t="s">
        <v>290</v>
      </c>
      <c r="B872" s="47"/>
      <c r="C872" s="47"/>
      <c r="D872" s="47"/>
      <c r="E872" s="47"/>
      <c r="F872" s="47"/>
      <c r="G872" s="47"/>
      <c r="H872" s="47"/>
      <c r="I872" s="47"/>
      <c r="J872" s="47"/>
      <c r="K872" s="16"/>
      <c r="L872" s="16"/>
    </row>
    <row r="873" spans="1:12" ht="12.7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3"/>
      <c r="L873" s="13"/>
    </row>
    <row r="874" spans="1:12" ht="12.75">
      <c r="A874" s="18" t="s">
        <v>264</v>
      </c>
      <c r="B874" s="48" t="s">
        <v>266</v>
      </c>
      <c r="C874" s="48" t="s">
        <v>267</v>
      </c>
      <c r="D874" s="18" t="s">
        <v>268</v>
      </c>
      <c r="K874" s="13"/>
      <c r="L874" s="13"/>
    </row>
    <row r="875" spans="1:4" ht="12.75">
      <c r="A875" s="18" t="s">
        <v>265</v>
      </c>
      <c r="B875" s="48"/>
      <c r="C875" s="48"/>
      <c r="D875" s="18" t="s">
        <v>269</v>
      </c>
    </row>
    <row r="876" spans="1:4" ht="38.25">
      <c r="A876" s="19" t="s">
        <v>270</v>
      </c>
      <c r="B876" s="19" t="s">
        <v>271</v>
      </c>
      <c r="C876" s="19"/>
      <c r="D876" s="18">
        <f>D877+D878+D879+D880+D881+D882</f>
        <v>254503.21</v>
      </c>
    </row>
    <row r="877" spans="1:4" ht="38.25">
      <c r="A877" s="19" t="s">
        <v>19</v>
      </c>
      <c r="B877" s="20" t="s">
        <v>272</v>
      </c>
      <c r="C877" s="19"/>
      <c r="D877" s="18">
        <f>3152.6+1102.74+83319+135230</f>
        <v>222804.34</v>
      </c>
    </row>
    <row r="878" spans="1:4" ht="38.25">
      <c r="A878" s="19" t="s">
        <v>20</v>
      </c>
      <c r="B878" s="20" t="s">
        <v>273</v>
      </c>
      <c r="C878" s="19"/>
      <c r="D878" s="18">
        <v>916</v>
      </c>
    </row>
    <row r="879" spans="1:4" ht="38.25">
      <c r="A879" s="21" t="s">
        <v>293</v>
      </c>
      <c r="B879" s="20" t="s">
        <v>274</v>
      </c>
      <c r="C879" s="19"/>
      <c r="D879" s="18">
        <f>5800.38+1428+14392</f>
        <v>21620.38</v>
      </c>
    </row>
    <row r="880" spans="1:4" ht="38.25">
      <c r="A880" s="21" t="s">
        <v>292</v>
      </c>
      <c r="B880" s="20" t="s">
        <v>275</v>
      </c>
      <c r="C880" s="19"/>
      <c r="D880" s="18">
        <f>476+914</f>
        <v>1390</v>
      </c>
    </row>
    <row r="881" spans="1:4" ht="38.25">
      <c r="A881" s="21" t="s">
        <v>294</v>
      </c>
      <c r="B881" s="20" t="s">
        <v>276</v>
      </c>
      <c r="C881" s="19"/>
      <c r="D881" s="18">
        <f>4548.95+1109.44+1545.1</f>
        <v>7203.49</v>
      </c>
    </row>
    <row r="882" spans="1:4" ht="25.5">
      <c r="A882" s="21" t="s">
        <v>295</v>
      </c>
      <c r="B882" s="20" t="s">
        <v>277</v>
      </c>
      <c r="C882" s="19"/>
      <c r="D882" s="18">
        <v>569</v>
      </c>
    </row>
    <row r="883" spans="1:4" ht="12.75">
      <c r="A883" s="19" t="s">
        <v>278</v>
      </c>
      <c r="B883" s="19" t="s">
        <v>279</v>
      </c>
      <c r="C883" s="19"/>
      <c r="D883" s="18"/>
    </row>
    <row r="884" spans="1:4" ht="12.75">
      <c r="A884" s="19" t="s">
        <v>280</v>
      </c>
      <c r="B884" s="19"/>
      <c r="C884" s="19"/>
      <c r="D884" s="18"/>
    </row>
    <row r="885" spans="1:4" ht="12.75">
      <c r="A885" s="19" t="s">
        <v>281</v>
      </c>
      <c r="B885" s="19"/>
      <c r="C885" s="19"/>
      <c r="D885" s="18"/>
    </row>
    <row r="886" spans="1:4" ht="12.75">
      <c r="A886" s="19" t="s">
        <v>282</v>
      </c>
      <c r="B886" s="19"/>
      <c r="C886" s="19"/>
      <c r="D886" s="18"/>
    </row>
    <row r="887" ht="12.75">
      <c r="A887" s="1"/>
    </row>
    <row r="888" ht="12.75">
      <c r="A888" s="1" t="s">
        <v>283</v>
      </c>
    </row>
    <row r="889" spans="1:3" ht="12.75">
      <c r="A889" s="1" t="s">
        <v>284</v>
      </c>
      <c r="C889" t="s">
        <v>291</v>
      </c>
    </row>
    <row r="890" ht="12.75">
      <c r="A890" s="1"/>
    </row>
    <row r="891" ht="12.75">
      <c r="A891" s="1" t="s">
        <v>285</v>
      </c>
    </row>
    <row r="892" ht="12.75">
      <c r="A892" s="1"/>
    </row>
    <row r="893" ht="12.75">
      <c r="A893" s="1" t="s">
        <v>396</v>
      </c>
    </row>
    <row r="894" ht="12.75">
      <c r="A894" s="1" t="s">
        <v>287</v>
      </c>
    </row>
    <row r="895" ht="12.75">
      <c r="A895" s="9"/>
    </row>
    <row r="896" ht="12.75">
      <c r="A896" s="9"/>
    </row>
    <row r="897" spans="1:4" ht="38.25" customHeight="1">
      <c r="A897" s="49" t="s">
        <v>288</v>
      </c>
      <c r="B897" s="49"/>
      <c r="C897" s="49"/>
      <c r="D897" s="49"/>
    </row>
    <row r="898" ht="12.75">
      <c r="A898" s="10"/>
    </row>
    <row r="899" ht="12.75">
      <c r="A899" s="10"/>
    </row>
    <row r="900" ht="12.75">
      <c r="A900" s="10"/>
    </row>
    <row r="901" ht="12.75">
      <c r="A901" s="1" t="s">
        <v>286</v>
      </c>
    </row>
    <row r="902" ht="12.75">
      <c r="A902" s="1" t="s">
        <v>289</v>
      </c>
    </row>
    <row r="903" ht="12.75">
      <c r="A903" s="11"/>
    </row>
    <row r="906" spans="1:12" ht="15.75">
      <c r="A906" s="46" t="s">
        <v>262</v>
      </c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14"/>
    </row>
    <row r="907" spans="1:12" ht="15.75">
      <c r="A907" s="46" t="s">
        <v>291</v>
      </c>
      <c r="B907" s="46"/>
      <c r="C907" s="46"/>
      <c r="D907" s="46"/>
      <c r="E907" s="46"/>
      <c r="F907" s="46"/>
      <c r="G907" s="46"/>
      <c r="H907" s="46"/>
      <c r="I907" s="46"/>
      <c r="J907" s="46"/>
      <c r="K907" s="14"/>
      <c r="L907" s="14"/>
    </row>
    <row r="908" spans="1:12" ht="15.75">
      <c r="A908" s="46" t="s">
        <v>317</v>
      </c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</row>
    <row r="909" spans="1:12" ht="53.25" customHeight="1">
      <c r="A909" s="47" t="s">
        <v>290</v>
      </c>
      <c r="B909" s="47"/>
      <c r="C909" s="47"/>
      <c r="D909" s="47"/>
      <c r="E909" s="47"/>
      <c r="F909" s="47"/>
      <c r="G909" s="47"/>
      <c r="H909" s="47"/>
      <c r="I909" s="47"/>
      <c r="J909" s="47"/>
      <c r="K909" s="16"/>
      <c r="L909" s="16"/>
    </row>
    <row r="910" spans="1:12" ht="12.7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3"/>
      <c r="L910" s="13"/>
    </row>
    <row r="911" spans="1:12" ht="12.75">
      <c r="A911" s="18" t="s">
        <v>264</v>
      </c>
      <c r="B911" s="48" t="s">
        <v>266</v>
      </c>
      <c r="C911" s="48" t="s">
        <v>267</v>
      </c>
      <c r="D911" s="18" t="s">
        <v>268</v>
      </c>
      <c r="K911" s="13"/>
      <c r="L911" s="13"/>
    </row>
    <row r="912" spans="1:4" ht="12.75">
      <c r="A912" s="18" t="s">
        <v>265</v>
      </c>
      <c r="B912" s="48"/>
      <c r="C912" s="48"/>
      <c r="D912" s="18" t="s">
        <v>269</v>
      </c>
    </row>
    <row r="913" spans="1:4" ht="38.25">
      <c r="A913" s="19" t="s">
        <v>270</v>
      </c>
      <c r="B913" s="19" t="s">
        <v>271</v>
      </c>
      <c r="C913" s="19"/>
      <c r="D913" s="18">
        <f>D914+D915+D916+D917+D918+D919</f>
        <v>274693.23</v>
      </c>
    </row>
    <row r="914" spans="1:4" ht="38.25">
      <c r="A914" s="19" t="s">
        <v>19</v>
      </c>
      <c r="B914" s="20" t="s">
        <v>272</v>
      </c>
      <c r="C914" s="19"/>
      <c r="D914" s="18"/>
    </row>
    <row r="915" spans="1:4" ht="38.25">
      <c r="A915" s="19" t="s">
        <v>20</v>
      </c>
      <c r="B915" s="20" t="s">
        <v>273</v>
      </c>
      <c r="C915" s="19"/>
      <c r="D915" s="18">
        <f>37000.38+170259.83+741.56</f>
        <v>208001.77</v>
      </c>
    </row>
    <row r="916" spans="1:4" ht="38.25">
      <c r="A916" s="21" t="s">
        <v>293</v>
      </c>
      <c r="B916" s="20" t="s">
        <v>274</v>
      </c>
      <c r="C916" s="19"/>
      <c r="D916" s="18">
        <f>893.93+5630+33347.58+458</f>
        <v>40329.51</v>
      </c>
    </row>
    <row r="917" spans="1:4" ht="38.25">
      <c r="A917" s="21" t="s">
        <v>292</v>
      </c>
      <c r="B917" s="20" t="s">
        <v>275</v>
      </c>
      <c r="C917" s="19"/>
      <c r="D917" s="18"/>
    </row>
    <row r="918" spans="1:4" ht="38.25">
      <c r="A918" s="21" t="s">
        <v>294</v>
      </c>
      <c r="B918" s="20" t="s">
        <v>276</v>
      </c>
      <c r="C918" s="19"/>
      <c r="D918" s="18">
        <f>1109.44+25000.51</f>
        <v>26109.949999999997</v>
      </c>
    </row>
    <row r="919" spans="1:4" ht="25.5">
      <c r="A919" s="21" t="s">
        <v>295</v>
      </c>
      <c r="B919" s="20" t="s">
        <v>277</v>
      </c>
      <c r="C919" s="19"/>
      <c r="D919" s="18">
        <v>252</v>
      </c>
    </row>
    <row r="920" spans="1:4" ht="12.75">
      <c r="A920" s="19" t="s">
        <v>278</v>
      </c>
      <c r="B920" s="19" t="s">
        <v>279</v>
      </c>
      <c r="C920" s="19"/>
      <c r="D920" s="18">
        <f>D921</f>
        <v>87854.75</v>
      </c>
    </row>
    <row r="921" spans="1:4" ht="38.25">
      <c r="A921" s="19" t="s">
        <v>280</v>
      </c>
      <c r="B921" s="19" t="s">
        <v>422</v>
      </c>
      <c r="C921" s="19"/>
      <c r="D921" s="18">
        <v>87854.75</v>
      </c>
    </row>
    <row r="922" spans="1:4" ht="12.75">
      <c r="A922" s="19" t="s">
        <v>281</v>
      </c>
      <c r="B922" s="19"/>
      <c r="C922" s="19"/>
      <c r="D922" s="18"/>
    </row>
    <row r="923" spans="1:4" ht="12.75">
      <c r="A923" s="19" t="s">
        <v>282</v>
      </c>
      <c r="B923" s="19"/>
      <c r="C923" s="19"/>
      <c r="D923" s="18"/>
    </row>
    <row r="924" ht="12.75">
      <c r="A924" s="1"/>
    </row>
    <row r="925" ht="12.75">
      <c r="A925" s="1" t="s">
        <v>283</v>
      </c>
    </row>
    <row r="926" spans="1:3" ht="12.75">
      <c r="A926" s="1" t="s">
        <v>284</v>
      </c>
      <c r="C926" t="s">
        <v>291</v>
      </c>
    </row>
    <row r="927" ht="12.75">
      <c r="A927" s="1"/>
    </row>
    <row r="928" ht="12.75">
      <c r="A928" s="1" t="s">
        <v>285</v>
      </c>
    </row>
    <row r="929" ht="12.75">
      <c r="A929" s="1"/>
    </row>
    <row r="930" ht="12.75">
      <c r="A930" s="1" t="s">
        <v>396</v>
      </c>
    </row>
    <row r="931" ht="12.75">
      <c r="A931" s="1" t="s">
        <v>287</v>
      </c>
    </row>
    <row r="932" ht="12.75">
      <c r="A932" s="9"/>
    </row>
    <row r="933" ht="12.75">
      <c r="A933" s="9"/>
    </row>
    <row r="934" spans="1:4" ht="37.5" customHeight="1">
      <c r="A934" s="49" t="s">
        <v>288</v>
      </c>
      <c r="B934" s="49"/>
      <c r="C934" s="49"/>
      <c r="D934" s="49"/>
    </row>
    <row r="935" ht="12.75">
      <c r="A935" s="10"/>
    </row>
    <row r="936" ht="12.75">
      <c r="A936" s="10"/>
    </row>
    <row r="937" ht="12.75">
      <c r="A937" s="10"/>
    </row>
    <row r="938" ht="12.75">
      <c r="A938" s="1" t="s">
        <v>286</v>
      </c>
    </row>
    <row r="939" ht="12.75">
      <c r="A939" s="1" t="s">
        <v>289</v>
      </c>
    </row>
    <row r="940" ht="12.75">
      <c r="A940" s="11"/>
    </row>
    <row r="943" spans="1:12" ht="15.75">
      <c r="A943" s="46" t="s">
        <v>262</v>
      </c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14"/>
    </row>
    <row r="944" spans="1:12" ht="15.75">
      <c r="A944" s="46" t="s">
        <v>291</v>
      </c>
      <c r="B944" s="46"/>
      <c r="C944" s="46"/>
      <c r="D944" s="46"/>
      <c r="E944" s="46"/>
      <c r="F944" s="46"/>
      <c r="G944" s="46"/>
      <c r="H944" s="46"/>
      <c r="I944" s="46"/>
      <c r="J944" s="46"/>
      <c r="K944" s="14"/>
      <c r="L944" s="14"/>
    </row>
    <row r="945" spans="1:12" ht="15.75">
      <c r="A945" s="46" t="s">
        <v>318</v>
      </c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</row>
    <row r="946" spans="1:12" ht="54" customHeight="1">
      <c r="A946" s="47" t="s">
        <v>290</v>
      </c>
      <c r="B946" s="47"/>
      <c r="C946" s="47"/>
      <c r="D946" s="47"/>
      <c r="E946" s="47"/>
      <c r="F946" s="47"/>
      <c r="G946" s="47"/>
      <c r="H946" s="47"/>
      <c r="I946" s="47"/>
      <c r="J946" s="47"/>
      <c r="K946" s="16"/>
      <c r="L946" s="16"/>
    </row>
    <row r="947" spans="1:12" ht="12.7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3"/>
      <c r="L947" s="13"/>
    </row>
    <row r="948" spans="1:12" ht="12.75">
      <c r="A948" s="18" t="s">
        <v>264</v>
      </c>
      <c r="B948" s="48" t="s">
        <v>266</v>
      </c>
      <c r="C948" s="48" t="s">
        <v>267</v>
      </c>
      <c r="D948" s="18" t="s">
        <v>268</v>
      </c>
      <c r="K948" s="13"/>
      <c r="L948" s="13"/>
    </row>
    <row r="949" spans="1:4" ht="12.75">
      <c r="A949" s="18" t="s">
        <v>265</v>
      </c>
      <c r="B949" s="48"/>
      <c r="C949" s="48"/>
      <c r="D949" s="18" t="s">
        <v>269</v>
      </c>
    </row>
    <row r="950" spans="1:4" ht="38.25">
      <c r="A950" s="19" t="s">
        <v>270</v>
      </c>
      <c r="B950" s="19" t="s">
        <v>271</v>
      </c>
      <c r="C950" s="19"/>
      <c r="D950" s="18">
        <f>D951+D952+D953+D954+D955+D956+D957</f>
        <v>36344.85</v>
      </c>
    </row>
    <row r="951" spans="1:4" ht="38.25">
      <c r="A951" s="19" t="s">
        <v>19</v>
      </c>
      <c r="B951" s="20" t="s">
        <v>272</v>
      </c>
      <c r="C951" s="19"/>
      <c r="D951" s="18">
        <f>1145.54+32957</f>
        <v>34102.54</v>
      </c>
    </row>
    <row r="952" spans="1:4" ht="38.25">
      <c r="A952" s="19" t="s">
        <v>20</v>
      </c>
      <c r="B952" s="20" t="s">
        <v>273</v>
      </c>
      <c r="C952" s="19"/>
      <c r="D952" s="18"/>
    </row>
    <row r="953" spans="1:4" ht="38.25">
      <c r="A953" s="21" t="s">
        <v>293</v>
      </c>
      <c r="B953" s="20" t="s">
        <v>274</v>
      </c>
      <c r="C953" s="19"/>
      <c r="D953" s="18"/>
    </row>
    <row r="954" spans="1:4" ht="38.25">
      <c r="A954" s="21" t="s">
        <v>292</v>
      </c>
      <c r="B954" s="20" t="s">
        <v>275</v>
      </c>
      <c r="C954" s="19"/>
      <c r="D954" s="18"/>
    </row>
    <row r="955" spans="1:4" ht="38.25">
      <c r="A955" s="21" t="s">
        <v>294</v>
      </c>
      <c r="B955" s="20" t="s">
        <v>276</v>
      </c>
      <c r="C955" s="19"/>
      <c r="D955" s="18"/>
    </row>
    <row r="956" spans="1:4" ht="25.5">
      <c r="A956" s="21" t="s">
        <v>295</v>
      </c>
      <c r="B956" s="20" t="s">
        <v>277</v>
      </c>
      <c r="C956" s="19"/>
      <c r="D956" s="18">
        <f>1047.48+1194.83</f>
        <v>2242.31</v>
      </c>
    </row>
    <row r="957" spans="1:4" ht="12.75">
      <c r="A957" s="21"/>
      <c r="B957" s="20"/>
      <c r="C957" s="19"/>
      <c r="D957" s="18"/>
    </row>
    <row r="958" spans="1:4" ht="12.75">
      <c r="A958" s="19" t="s">
        <v>278</v>
      </c>
      <c r="B958" s="19" t="s">
        <v>279</v>
      </c>
      <c r="C958" s="19"/>
      <c r="D958" s="18">
        <f>D959</f>
        <v>0</v>
      </c>
    </row>
    <row r="959" spans="1:4" ht="12.75">
      <c r="A959" s="19" t="s">
        <v>280</v>
      </c>
      <c r="B959" s="19"/>
      <c r="C959" s="19"/>
      <c r="D959" s="18"/>
    </row>
    <row r="960" spans="1:4" ht="12.75">
      <c r="A960" s="19" t="s">
        <v>281</v>
      </c>
      <c r="B960" s="19"/>
      <c r="C960" s="19"/>
      <c r="D960" s="18"/>
    </row>
    <row r="961" spans="1:4" ht="12.75">
      <c r="A961" s="19" t="s">
        <v>282</v>
      </c>
      <c r="B961" s="19"/>
      <c r="C961" s="19"/>
      <c r="D961" s="18"/>
    </row>
    <row r="962" ht="12.75">
      <c r="A962" s="1"/>
    </row>
    <row r="963" ht="12.75">
      <c r="A963" s="1" t="s">
        <v>283</v>
      </c>
    </row>
    <row r="964" spans="1:3" ht="12.75">
      <c r="A964" s="1" t="s">
        <v>284</v>
      </c>
      <c r="C964" t="s">
        <v>291</v>
      </c>
    </row>
    <row r="965" ht="12.75">
      <c r="A965" s="1"/>
    </row>
    <row r="966" ht="12.75">
      <c r="A966" s="1" t="s">
        <v>285</v>
      </c>
    </row>
    <row r="967" ht="12.75">
      <c r="A967" s="1"/>
    </row>
    <row r="968" ht="12.75">
      <c r="A968" s="1" t="s">
        <v>396</v>
      </c>
    </row>
    <row r="969" ht="12.75">
      <c r="A969" s="1" t="s">
        <v>287</v>
      </c>
    </row>
    <row r="970" ht="12.75">
      <c r="A970" s="9"/>
    </row>
    <row r="971" ht="12.75">
      <c r="A971" s="9"/>
    </row>
    <row r="972" spans="1:4" ht="36.75" customHeight="1">
      <c r="A972" s="49" t="s">
        <v>288</v>
      </c>
      <c r="B972" s="49"/>
      <c r="C972" s="49"/>
      <c r="D972" s="49"/>
    </row>
    <row r="973" ht="12.75">
      <c r="A973" s="10"/>
    </row>
    <row r="974" ht="2.25" customHeight="1">
      <c r="A974" s="10"/>
    </row>
    <row r="975" ht="12.75" hidden="1">
      <c r="A975" s="10"/>
    </row>
    <row r="976" ht="12.75" hidden="1">
      <c r="A976" s="1" t="s">
        <v>286</v>
      </c>
    </row>
    <row r="977" ht="12.75">
      <c r="A977" s="1" t="s">
        <v>289</v>
      </c>
    </row>
    <row r="978" ht="12.75">
      <c r="A978" s="11"/>
    </row>
    <row r="981" spans="1:12" ht="15.75">
      <c r="A981" s="46" t="s">
        <v>262</v>
      </c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14"/>
    </row>
    <row r="982" spans="1:12" ht="15.75">
      <c r="A982" s="46" t="s">
        <v>291</v>
      </c>
      <c r="B982" s="46"/>
      <c r="C982" s="46"/>
      <c r="D982" s="46"/>
      <c r="E982" s="46"/>
      <c r="F982" s="46"/>
      <c r="G982" s="46"/>
      <c r="H982" s="46"/>
      <c r="I982" s="46"/>
      <c r="J982" s="46"/>
      <c r="K982" s="14"/>
      <c r="L982" s="14"/>
    </row>
    <row r="983" spans="1:12" ht="15.75">
      <c r="A983" s="46" t="s">
        <v>319</v>
      </c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</row>
    <row r="984" spans="1:12" ht="53.25" customHeight="1">
      <c r="A984" s="47" t="s">
        <v>290</v>
      </c>
      <c r="B984" s="47"/>
      <c r="C984" s="47"/>
      <c r="D984" s="47"/>
      <c r="E984" s="47"/>
      <c r="F984" s="47"/>
      <c r="G984" s="47"/>
      <c r="H984" s="47"/>
      <c r="I984" s="47"/>
      <c r="J984" s="47"/>
      <c r="K984" s="16"/>
      <c r="L984" s="16"/>
    </row>
    <row r="985" spans="1:12" ht="12.7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3"/>
      <c r="L985" s="13"/>
    </row>
    <row r="986" spans="1:12" ht="12.75">
      <c r="A986" s="18" t="s">
        <v>264</v>
      </c>
      <c r="B986" s="48" t="s">
        <v>266</v>
      </c>
      <c r="C986" s="48" t="s">
        <v>267</v>
      </c>
      <c r="D986" s="18" t="s">
        <v>268</v>
      </c>
      <c r="K986" s="13"/>
      <c r="L986" s="13"/>
    </row>
    <row r="987" spans="1:4" ht="12.75">
      <c r="A987" s="18" t="s">
        <v>265</v>
      </c>
      <c r="B987" s="48"/>
      <c r="C987" s="48"/>
      <c r="D987" s="18" t="s">
        <v>269</v>
      </c>
    </row>
    <row r="988" spans="1:4" ht="38.25">
      <c r="A988" s="19" t="s">
        <v>270</v>
      </c>
      <c r="B988" s="19" t="s">
        <v>271</v>
      </c>
      <c r="C988" s="19"/>
      <c r="D988" s="18">
        <f>D989+D990+D991+D992+D993+D994</f>
        <v>2909.3900000000003</v>
      </c>
    </row>
    <row r="989" spans="1:4" ht="38.25">
      <c r="A989" s="19" t="s">
        <v>19</v>
      </c>
      <c r="B989" s="20" t="s">
        <v>272</v>
      </c>
      <c r="C989" s="19"/>
      <c r="D989" s="18"/>
    </row>
    <row r="990" spans="1:4" ht="38.25">
      <c r="A990" s="19" t="s">
        <v>20</v>
      </c>
      <c r="B990" s="20" t="s">
        <v>273</v>
      </c>
      <c r="C990" s="19"/>
      <c r="D990" s="18">
        <f>1428.25+1481.14</f>
        <v>2909.3900000000003</v>
      </c>
    </row>
    <row r="991" spans="1:4" ht="38.25">
      <c r="A991" s="21" t="s">
        <v>293</v>
      </c>
      <c r="B991" s="20" t="s">
        <v>274</v>
      </c>
      <c r="C991" s="19"/>
      <c r="D991" s="18"/>
    </row>
    <row r="992" spans="1:4" ht="38.25">
      <c r="A992" s="21" t="s">
        <v>292</v>
      </c>
      <c r="B992" s="20" t="s">
        <v>275</v>
      </c>
      <c r="C992" s="19"/>
      <c r="D992" s="18"/>
    </row>
    <row r="993" spans="1:4" ht="38.25">
      <c r="A993" s="21" t="s">
        <v>294</v>
      </c>
      <c r="B993" s="20" t="s">
        <v>276</v>
      </c>
      <c r="C993" s="19"/>
      <c r="D993" s="18"/>
    </row>
    <row r="994" spans="1:4" ht="25.5">
      <c r="A994" s="21" t="s">
        <v>295</v>
      </c>
      <c r="B994" s="20" t="s">
        <v>277</v>
      </c>
      <c r="C994" s="19"/>
      <c r="D994" s="18"/>
    </row>
    <row r="995" spans="1:4" ht="12.75">
      <c r="A995" s="19" t="s">
        <v>278</v>
      </c>
      <c r="B995" s="19" t="s">
        <v>279</v>
      </c>
      <c r="C995" s="19"/>
      <c r="D995" s="18">
        <f>D996</f>
        <v>0</v>
      </c>
    </row>
    <row r="996" spans="1:4" ht="12.75">
      <c r="A996" s="19" t="s">
        <v>280</v>
      </c>
      <c r="B996" s="19"/>
      <c r="C996" s="19"/>
      <c r="D996" s="18"/>
    </row>
    <row r="997" spans="1:4" ht="12.75">
      <c r="A997" s="19" t="s">
        <v>281</v>
      </c>
      <c r="B997" s="19"/>
      <c r="C997" s="19"/>
      <c r="D997" s="18"/>
    </row>
    <row r="998" spans="1:4" ht="12.75">
      <c r="A998" s="19" t="s">
        <v>282</v>
      </c>
      <c r="B998" s="19"/>
      <c r="C998" s="19"/>
      <c r="D998" s="18"/>
    </row>
    <row r="999" ht="12.75">
      <c r="A999" s="1"/>
    </row>
    <row r="1000" ht="12.75">
      <c r="A1000" s="1" t="s">
        <v>283</v>
      </c>
    </row>
    <row r="1001" spans="1:3" ht="12.75">
      <c r="A1001" s="1" t="s">
        <v>284</v>
      </c>
      <c r="C1001" t="s">
        <v>291</v>
      </c>
    </row>
    <row r="1002" ht="12.75">
      <c r="A1002" s="1"/>
    </row>
    <row r="1003" ht="12.75">
      <c r="A1003" s="1" t="s">
        <v>285</v>
      </c>
    </row>
    <row r="1004" ht="12.75">
      <c r="A1004" s="1"/>
    </row>
    <row r="1005" ht="12.75">
      <c r="A1005" s="1" t="s">
        <v>396</v>
      </c>
    </row>
    <row r="1006" ht="12.75">
      <c r="A1006" s="1" t="s">
        <v>287</v>
      </c>
    </row>
    <row r="1007" ht="12.75">
      <c r="A1007" s="9"/>
    </row>
    <row r="1008" ht="12.75">
      <c r="A1008" s="9"/>
    </row>
    <row r="1009" spans="1:4" ht="37.5" customHeight="1">
      <c r="A1009" s="49" t="s">
        <v>288</v>
      </c>
      <c r="B1009" s="49"/>
      <c r="C1009" s="49"/>
      <c r="D1009" s="49"/>
    </row>
    <row r="1010" ht="12.75">
      <c r="A1010" s="10"/>
    </row>
    <row r="1011" ht="12.75">
      <c r="A1011" s="10"/>
    </row>
    <row r="1012" ht="12.75">
      <c r="A1012" s="10"/>
    </row>
    <row r="1013" ht="12.75">
      <c r="A1013" s="1" t="s">
        <v>286</v>
      </c>
    </row>
    <row r="1014" ht="12.75">
      <c r="A1014" s="1" t="s">
        <v>289</v>
      </c>
    </row>
    <row r="1015" ht="41.25" customHeight="1">
      <c r="A1015" s="11"/>
    </row>
    <row r="1016" spans="1:12" ht="15.75">
      <c r="A1016" s="46" t="s">
        <v>262</v>
      </c>
      <c r="B1016" s="46"/>
      <c r="C1016" s="46"/>
      <c r="D1016" s="46"/>
      <c r="E1016" s="46"/>
      <c r="F1016" s="46"/>
      <c r="G1016" s="46"/>
      <c r="H1016" s="46"/>
      <c r="I1016" s="46"/>
      <c r="J1016" s="46"/>
      <c r="K1016" s="46"/>
      <c r="L1016" s="14"/>
    </row>
    <row r="1017" spans="1:12" ht="15.75">
      <c r="A1017" s="46" t="s">
        <v>291</v>
      </c>
      <c r="B1017" s="46"/>
      <c r="C1017" s="46"/>
      <c r="D1017" s="46"/>
      <c r="E1017" s="46"/>
      <c r="F1017" s="46"/>
      <c r="G1017" s="46"/>
      <c r="H1017" s="46"/>
      <c r="I1017" s="46"/>
      <c r="J1017" s="46"/>
      <c r="K1017" s="14"/>
      <c r="L1017" s="14"/>
    </row>
    <row r="1018" spans="1:12" ht="15.75">
      <c r="A1018" s="46" t="s">
        <v>320</v>
      </c>
      <c r="B1018" s="46"/>
      <c r="C1018" s="46"/>
      <c r="D1018" s="46"/>
      <c r="E1018" s="46"/>
      <c r="F1018" s="46"/>
      <c r="G1018" s="46"/>
      <c r="H1018" s="46"/>
      <c r="I1018" s="46"/>
      <c r="J1018" s="46"/>
      <c r="K1018" s="46"/>
      <c r="L1018" s="46"/>
    </row>
    <row r="1019" spans="1:12" ht="52.5" customHeight="1">
      <c r="A1019" s="47" t="s">
        <v>290</v>
      </c>
      <c r="B1019" s="47"/>
      <c r="C1019" s="47"/>
      <c r="D1019" s="47"/>
      <c r="E1019" s="47"/>
      <c r="F1019" s="47"/>
      <c r="G1019" s="47"/>
      <c r="H1019" s="47"/>
      <c r="I1019" s="47"/>
      <c r="J1019" s="47"/>
      <c r="K1019" s="16"/>
      <c r="L1019" s="16"/>
    </row>
    <row r="1020" spans="1:12" ht="12.75">
      <c r="A1020" s="12"/>
      <c r="B1020" s="12"/>
      <c r="C1020" s="12"/>
      <c r="D1020" s="12"/>
      <c r="E1020" s="12"/>
      <c r="F1020" s="12"/>
      <c r="G1020" s="12"/>
      <c r="H1020" s="12"/>
      <c r="I1020" s="12"/>
      <c r="J1020" s="12"/>
      <c r="K1020" s="13"/>
      <c r="L1020" s="13"/>
    </row>
    <row r="1021" spans="1:12" ht="12.75">
      <c r="A1021" s="18" t="s">
        <v>264</v>
      </c>
      <c r="B1021" s="48" t="s">
        <v>266</v>
      </c>
      <c r="C1021" s="48" t="s">
        <v>267</v>
      </c>
      <c r="D1021" s="18" t="s">
        <v>268</v>
      </c>
      <c r="K1021" s="13"/>
      <c r="L1021" s="13"/>
    </row>
    <row r="1022" spans="1:4" ht="12.75">
      <c r="A1022" s="18" t="s">
        <v>265</v>
      </c>
      <c r="B1022" s="48"/>
      <c r="C1022" s="48"/>
      <c r="D1022" s="18" t="s">
        <v>269</v>
      </c>
    </row>
    <row r="1023" spans="1:4" ht="38.25">
      <c r="A1023" s="19" t="s">
        <v>270</v>
      </c>
      <c r="B1023" s="19" t="s">
        <v>271</v>
      </c>
      <c r="C1023" s="19"/>
      <c r="D1023" s="18">
        <f>D1024+D1025+D1026+D1027+D1028+D1029</f>
        <v>72200.06</v>
      </c>
    </row>
    <row r="1024" spans="1:4" ht="38.25">
      <c r="A1024" s="19" t="s">
        <v>19</v>
      </c>
      <c r="B1024" s="20" t="s">
        <v>272</v>
      </c>
      <c r="C1024" s="19"/>
      <c r="D1024" s="18"/>
    </row>
    <row r="1025" spans="1:4" ht="38.25">
      <c r="A1025" s="19" t="s">
        <v>20</v>
      </c>
      <c r="B1025" s="20" t="s">
        <v>273</v>
      </c>
      <c r="C1025" s="19"/>
      <c r="D1025" s="18">
        <v>51271.69</v>
      </c>
    </row>
    <row r="1026" spans="1:4" ht="38.25">
      <c r="A1026" s="21" t="s">
        <v>293</v>
      </c>
      <c r="B1026" s="20" t="s">
        <v>274</v>
      </c>
      <c r="C1026" s="19"/>
      <c r="D1026" s="18">
        <v>18078.23</v>
      </c>
    </row>
    <row r="1027" spans="1:4" ht="38.25">
      <c r="A1027" s="21" t="s">
        <v>292</v>
      </c>
      <c r="B1027" s="20" t="s">
        <v>275</v>
      </c>
      <c r="C1027" s="19"/>
      <c r="D1027" s="18">
        <f>450</f>
        <v>450</v>
      </c>
    </row>
    <row r="1028" spans="1:4" ht="38.25">
      <c r="A1028" s="21" t="s">
        <v>294</v>
      </c>
      <c r="B1028" s="20" t="s">
        <v>276</v>
      </c>
      <c r="C1028" s="19"/>
      <c r="D1028" s="18">
        <v>2400.14</v>
      </c>
    </row>
    <row r="1029" spans="1:4" ht="25.5">
      <c r="A1029" s="21" t="s">
        <v>295</v>
      </c>
      <c r="B1029" s="20" t="s">
        <v>277</v>
      </c>
      <c r="C1029" s="19"/>
      <c r="D1029" s="18"/>
    </row>
    <row r="1030" spans="1:4" ht="12.75">
      <c r="A1030" s="19" t="s">
        <v>278</v>
      </c>
      <c r="B1030" s="19" t="s">
        <v>279</v>
      </c>
      <c r="C1030" s="19"/>
      <c r="D1030" s="18">
        <f>D1031</f>
        <v>0</v>
      </c>
    </row>
    <row r="1031" spans="1:4" ht="12.75">
      <c r="A1031" s="19" t="s">
        <v>280</v>
      </c>
      <c r="B1031" s="19"/>
      <c r="C1031" s="19"/>
      <c r="D1031" s="18"/>
    </row>
    <row r="1032" spans="1:4" ht="12.75">
      <c r="A1032" s="19" t="s">
        <v>281</v>
      </c>
      <c r="B1032" s="19"/>
      <c r="C1032" s="19"/>
      <c r="D1032" s="18"/>
    </row>
    <row r="1033" spans="1:4" ht="12.75">
      <c r="A1033" s="19" t="s">
        <v>282</v>
      </c>
      <c r="B1033" s="19"/>
      <c r="C1033" s="19"/>
      <c r="D1033" s="18"/>
    </row>
    <row r="1034" ht="12.75">
      <c r="A1034" s="1"/>
    </row>
    <row r="1035" ht="12.75">
      <c r="A1035" s="1" t="s">
        <v>283</v>
      </c>
    </row>
    <row r="1036" spans="1:3" ht="12.75">
      <c r="A1036" s="1" t="s">
        <v>284</v>
      </c>
      <c r="C1036" t="s">
        <v>291</v>
      </c>
    </row>
    <row r="1037" ht="12.75">
      <c r="A1037" s="1"/>
    </row>
    <row r="1038" ht="12.75">
      <c r="A1038" s="1" t="s">
        <v>285</v>
      </c>
    </row>
    <row r="1039" ht="12.75">
      <c r="A1039" s="1"/>
    </row>
    <row r="1040" ht="12.75">
      <c r="A1040" s="1" t="s">
        <v>396</v>
      </c>
    </row>
    <row r="1041" ht="12.75">
      <c r="A1041" s="1" t="s">
        <v>287</v>
      </c>
    </row>
    <row r="1042" ht="12.75">
      <c r="A1042" s="9"/>
    </row>
    <row r="1043" ht="12.75">
      <c r="A1043" s="9"/>
    </row>
    <row r="1044" spans="1:4" ht="37.5" customHeight="1">
      <c r="A1044" s="49" t="s">
        <v>288</v>
      </c>
      <c r="B1044" s="49"/>
      <c r="C1044" s="49"/>
      <c r="D1044" s="49"/>
    </row>
    <row r="1045" ht="12.75">
      <c r="A1045" s="10"/>
    </row>
    <row r="1046" ht="12.75">
      <c r="A1046" s="10"/>
    </row>
    <row r="1047" ht="12.75">
      <c r="A1047" s="10"/>
    </row>
    <row r="1048" ht="12.75">
      <c r="A1048" s="1" t="s">
        <v>286</v>
      </c>
    </row>
    <row r="1049" ht="12.75">
      <c r="A1049" s="1" t="s">
        <v>289</v>
      </c>
    </row>
    <row r="1050" ht="12.75">
      <c r="A1050" s="11"/>
    </row>
    <row r="1051" ht="12.75" hidden="1"/>
    <row r="1052" ht="30" customHeight="1"/>
    <row r="1053" spans="1:12" ht="15.75">
      <c r="A1053" s="46" t="s">
        <v>262</v>
      </c>
      <c r="B1053" s="46"/>
      <c r="C1053" s="46"/>
      <c r="D1053" s="46"/>
      <c r="E1053" s="46"/>
      <c r="F1053" s="46"/>
      <c r="G1053" s="46"/>
      <c r="H1053" s="46"/>
      <c r="I1053" s="46"/>
      <c r="J1053" s="46"/>
      <c r="K1053" s="46"/>
      <c r="L1053" s="14"/>
    </row>
    <row r="1054" spans="1:12" ht="15.75">
      <c r="A1054" s="46" t="s">
        <v>291</v>
      </c>
      <c r="B1054" s="46"/>
      <c r="C1054" s="46"/>
      <c r="D1054" s="46"/>
      <c r="E1054" s="46"/>
      <c r="F1054" s="46"/>
      <c r="G1054" s="46"/>
      <c r="H1054" s="46"/>
      <c r="I1054" s="46"/>
      <c r="J1054" s="46"/>
      <c r="K1054" s="14"/>
      <c r="L1054" s="14"/>
    </row>
    <row r="1055" spans="1:12" ht="15.75">
      <c r="A1055" s="46" t="s">
        <v>321</v>
      </c>
      <c r="B1055" s="46"/>
      <c r="C1055" s="46"/>
      <c r="D1055" s="46"/>
      <c r="E1055" s="46"/>
      <c r="F1055" s="46"/>
      <c r="G1055" s="46"/>
      <c r="H1055" s="46"/>
      <c r="I1055" s="46"/>
      <c r="J1055" s="46"/>
      <c r="K1055" s="46"/>
      <c r="L1055" s="46"/>
    </row>
    <row r="1056" spans="1:12" ht="55.5" customHeight="1">
      <c r="A1056" s="47" t="s">
        <v>290</v>
      </c>
      <c r="B1056" s="47"/>
      <c r="C1056" s="47"/>
      <c r="D1056" s="47"/>
      <c r="E1056" s="47"/>
      <c r="F1056" s="47"/>
      <c r="G1056" s="47"/>
      <c r="H1056" s="47"/>
      <c r="I1056" s="47"/>
      <c r="J1056" s="47"/>
      <c r="K1056" s="16"/>
      <c r="L1056" s="16"/>
    </row>
    <row r="1057" spans="1:12" ht="12.75">
      <c r="A1057" s="12"/>
      <c r="B1057" s="12"/>
      <c r="C1057" s="12"/>
      <c r="D1057" s="12"/>
      <c r="E1057" s="12"/>
      <c r="F1057" s="12"/>
      <c r="G1057" s="12"/>
      <c r="H1057" s="12"/>
      <c r="I1057" s="12"/>
      <c r="J1057" s="12"/>
      <c r="K1057" s="13"/>
      <c r="L1057" s="13"/>
    </row>
    <row r="1058" spans="1:12" ht="12.75">
      <c r="A1058" s="18" t="s">
        <v>264</v>
      </c>
      <c r="B1058" s="48" t="s">
        <v>266</v>
      </c>
      <c r="C1058" s="48" t="s">
        <v>267</v>
      </c>
      <c r="D1058" s="18" t="s">
        <v>268</v>
      </c>
      <c r="K1058" s="13"/>
      <c r="L1058" s="13"/>
    </row>
    <row r="1059" spans="1:4" ht="12.75">
      <c r="A1059" s="18" t="s">
        <v>265</v>
      </c>
      <c r="B1059" s="48"/>
      <c r="C1059" s="48"/>
      <c r="D1059" s="18" t="s">
        <v>269</v>
      </c>
    </row>
    <row r="1060" spans="1:4" ht="38.25">
      <c r="A1060" s="19" t="s">
        <v>270</v>
      </c>
      <c r="B1060" s="19" t="s">
        <v>271</v>
      </c>
      <c r="C1060" s="19"/>
      <c r="D1060" s="18">
        <f>D1061+D1062+D1063+D1064+D1065+D1066</f>
        <v>36734.08</v>
      </c>
    </row>
    <row r="1061" spans="1:4" ht="38.25">
      <c r="A1061" s="19" t="s">
        <v>19</v>
      </c>
      <c r="B1061" s="20" t="s">
        <v>272</v>
      </c>
      <c r="C1061" s="19"/>
      <c r="D1061" s="18">
        <f>8662.24+5046.15+11480.56</f>
        <v>25188.949999999997</v>
      </c>
    </row>
    <row r="1062" spans="1:4" ht="38.25">
      <c r="A1062" s="19" t="s">
        <v>20</v>
      </c>
      <c r="B1062" s="20" t="s">
        <v>273</v>
      </c>
      <c r="C1062" s="19"/>
      <c r="D1062" s="18">
        <f>7205.16+458</f>
        <v>7663.16</v>
      </c>
    </row>
    <row r="1063" spans="1:4" ht="38.25">
      <c r="A1063" s="21" t="s">
        <v>293</v>
      </c>
      <c r="B1063" s="20" t="s">
        <v>274</v>
      </c>
      <c r="C1063" s="19"/>
      <c r="D1063" s="18">
        <v>3423.62</v>
      </c>
    </row>
    <row r="1064" spans="1:4" ht="38.25">
      <c r="A1064" s="21" t="s">
        <v>292</v>
      </c>
      <c r="B1064" s="20" t="s">
        <v>275</v>
      </c>
      <c r="C1064" s="19"/>
      <c r="D1064" s="18"/>
    </row>
    <row r="1065" spans="1:4" ht="38.25">
      <c r="A1065" s="21" t="s">
        <v>294</v>
      </c>
      <c r="B1065" s="20" t="s">
        <v>276</v>
      </c>
      <c r="C1065" s="19"/>
      <c r="D1065" s="18"/>
    </row>
    <row r="1066" spans="1:4" ht="25.5">
      <c r="A1066" s="21" t="s">
        <v>295</v>
      </c>
      <c r="B1066" s="20" t="s">
        <v>277</v>
      </c>
      <c r="C1066" s="19"/>
      <c r="D1066" s="18">
        <v>458.35</v>
      </c>
    </row>
    <row r="1067" spans="1:4" ht="12.75">
      <c r="A1067" s="19" t="s">
        <v>278</v>
      </c>
      <c r="B1067" s="19" t="s">
        <v>279</v>
      </c>
      <c r="C1067" s="19"/>
      <c r="D1067" s="18"/>
    </row>
    <row r="1068" spans="1:4" ht="12.75">
      <c r="A1068" s="19" t="s">
        <v>280</v>
      </c>
      <c r="B1068" s="19"/>
      <c r="C1068" s="19"/>
      <c r="D1068" s="18"/>
    </row>
    <row r="1069" spans="1:4" ht="12.75">
      <c r="A1069" s="19" t="s">
        <v>281</v>
      </c>
      <c r="B1069" s="19"/>
      <c r="C1069" s="19"/>
      <c r="D1069" s="18"/>
    </row>
    <row r="1070" spans="1:4" ht="12.75">
      <c r="A1070" s="19" t="s">
        <v>282</v>
      </c>
      <c r="B1070" s="19"/>
      <c r="C1070" s="19"/>
      <c r="D1070" s="18"/>
    </row>
    <row r="1071" ht="12.75">
      <c r="A1071" s="1"/>
    </row>
    <row r="1072" ht="12.75">
      <c r="A1072" s="1" t="s">
        <v>283</v>
      </c>
    </row>
    <row r="1073" spans="1:3" ht="12.75">
      <c r="A1073" s="1" t="s">
        <v>284</v>
      </c>
      <c r="C1073" t="s">
        <v>291</v>
      </c>
    </row>
    <row r="1074" ht="12.75">
      <c r="A1074" s="1"/>
    </row>
    <row r="1075" ht="12.75">
      <c r="A1075" s="1" t="s">
        <v>285</v>
      </c>
    </row>
    <row r="1076" ht="12.75">
      <c r="A1076" s="1"/>
    </row>
    <row r="1077" ht="12.75">
      <c r="A1077" s="1" t="s">
        <v>396</v>
      </c>
    </row>
    <row r="1078" ht="12.75">
      <c r="A1078" s="1" t="s">
        <v>287</v>
      </c>
    </row>
    <row r="1079" ht="12.75">
      <c r="A1079" s="9"/>
    </row>
    <row r="1080" ht="12.75">
      <c r="A1080" s="9"/>
    </row>
    <row r="1081" spans="1:4" ht="37.5" customHeight="1">
      <c r="A1081" s="49" t="s">
        <v>288</v>
      </c>
      <c r="B1081" s="49"/>
      <c r="C1081" s="49"/>
      <c r="D1081" s="49"/>
    </row>
    <row r="1082" ht="12.75">
      <c r="A1082" s="10"/>
    </row>
    <row r="1083" ht="12.75">
      <c r="A1083" s="10"/>
    </row>
    <row r="1084" ht="12.75">
      <c r="A1084" s="10"/>
    </row>
    <row r="1085" ht="12.75">
      <c r="A1085" s="1" t="s">
        <v>286</v>
      </c>
    </row>
    <row r="1086" ht="12.75">
      <c r="A1086" s="1" t="s">
        <v>289</v>
      </c>
    </row>
    <row r="1087" ht="12.75">
      <c r="A1087" s="11"/>
    </row>
    <row r="1088" ht="3" customHeight="1"/>
    <row r="1089" ht="15" customHeight="1"/>
    <row r="1090" spans="1:12" ht="15.75">
      <c r="A1090" s="46" t="s">
        <v>262</v>
      </c>
      <c r="B1090" s="46"/>
      <c r="C1090" s="46"/>
      <c r="D1090" s="46"/>
      <c r="E1090" s="46"/>
      <c r="F1090" s="46"/>
      <c r="G1090" s="46"/>
      <c r="H1090" s="46"/>
      <c r="I1090" s="46"/>
      <c r="J1090" s="46"/>
      <c r="K1090" s="46"/>
      <c r="L1090" s="14"/>
    </row>
    <row r="1091" spans="1:12" ht="15.75">
      <c r="A1091" s="46" t="s">
        <v>291</v>
      </c>
      <c r="B1091" s="46"/>
      <c r="C1091" s="46"/>
      <c r="D1091" s="46"/>
      <c r="E1091" s="46"/>
      <c r="F1091" s="46"/>
      <c r="G1091" s="46"/>
      <c r="H1091" s="46"/>
      <c r="I1091" s="46"/>
      <c r="J1091" s="46"/>
      <c r="K1091" s="14"/>
      <c r="L1091" s="14"/>
    </row>
    <row r="1092" spans="1:12" ht="15.75">
      <c r="A1092" s="46" t="s">
        <v>322</v>
      </c>
      <c r="B1092" s="46"/>
      <c r="C1092" s="46"/>
      <c r="D1092" s="46"/>
      <c r="E1092" s="46"/>
      <c r="F1092" s="46"/>
      <c r="G1092" s="46"/>
      <c r="H1092" s="46"/>
      <c r="I1092" s="46"/>
      <c r="J1092" s="46"/>
      <c r="K1092" s="46"/>
      <c r="L1092" s="46"/>
    </row>
    <row r="1093" spans="1:12" ht="55.5" customHeight="1">
      <c r="A1093" s="47" t="s">
        <v>290</v>
      </c>
      <c r="B1093" s="47"/>
      <c r="C1093" s="47"/>
      <c r="D1093" s="47"/>
      <c r="E1093" s="47"/>
      <c r="F1093" s="47"/>
      <c r="G1093" s="47"/>
      <c r="H1093" s="47"/>
      <c r="I1093" s="47"/>
      <c r="J1093" s="47"/>
      <c r="K1093" s="16"/>
      <c r="L1093" s="16"/>
    </row>
    <row r="1094" spans="1:12" ht="12.75">
      <c r="A1094" s="12"/>
      <c r="B1094" s="12"/>
      <c r="C1094" s="12"/>
      <c r="D1094" s="12"/>
      <c r="E1094" s="12"/>
      <c r="F1094" s="12"/>
      <c r="G1094" s="12"/>
      <c r="H1094" s="12"/>
      <c r="I1094" s="12"/>
      <c r="J1094" s="12"/>
      <c r="K1094" s="13"/>
      <c r="L1094" s="13"/>
    </row>
    <row r="1095" spans="1:12" ht="12.75">
      <c r="A1095" s="18" t="s">
        <v>264</v>
      </c>
      <c r="B1095" s="48" t="s">
        <v>266</v>
      </c>
      <c r="C1095" s="48" t="s">
        <v>267</v>
      </c>
      <c r="D1095" s="18" t="s">
        <v>268</v>
      </c>
      <c r="K1095" s="13"/>
      <c r="L1095" s="13"/>
    </row>
    <row r="1096" spans="1:4" ht="12.75">
      <c r="A1096" s="18" t="s">
        <v>265</v>
      </c>
      <c r="B1096" s="48"/>
      <c r="C1096" s="48"/>
      <c r="D1096" s="18" t="s">
        <v>269</v>
      </c>
    </row>
    <row r="1097" spans="1:4" ht="38.25">
      <c r="A1097" s="19" t="s">
        <v>270</v>
      </c>
      <c r="B1097" s="19" t="s">
        <v>271</v>
      </c>
      <c r="C1097" s="19"/>
      <c r="D1097" s="18">
        <f>D1098+D1099+D1100+D1101+D1102+D1103</f>
        <v>25905.2</v>
      </c>
    </row>
    <row r="1098" spans="1:4" ht="38.25">
      <c r="A1098" s="19" t="s">
        <v>19</v>
      </c>
      <c r="B1098" s="20" t="s">
        <v>272</v>
      </c>
      <c r="C1098" s="19"/>
      <c r="D1098" s="18">
        <f>25905.2</f>
        <v>25905.2</v>
      </c>
    </row>
    <row r="1099" spans="1:4" ht="38.25">
      <c r="A1099" s="19" t="s">
        <v>20</v>
      </c>
      <c r="B1099" s="20" t="s">
        <v>273</v>
      </c>
      <c r="C1099" s="19"/>
      <c r="D1099" s="18"/>
    </row>
    <row r="1100" spans="1:4" ht="38.25">
      <c r="A1100" s="21" t="s">
        <v>293</v>
      </c>
      <c r="B1100" s="20" t="s">
        <v>274</v>
      </c>
      <c r="C1100" s="19"/>
      <c r="D1100" s="18"/>
    </row>
    <row r="1101" spans="1:4" ht="38.25">
      <c r="A1101" s="21" t="s">
        <v>292</v>
      </c>
      <c r="B1101" s="20" t="s">
        <v>275</v>
      </c>
      <c r="C1101" s="19"/>
      <c r="D1101" s="18"/>
    </row>
    <row r="1102" spans="1:4" ht="38.25">
      <c r="A1102" s="21" t="s">
        <v>294</v>
      </c>
      <c r="B1102" s="20" t="s">
        <v>276</v>
      </c>
      <c r="C1102" s="19"/>
      <c r="D1102" s="18"/>
    </row>
    <row r="1103" spans="1:4" ht="25.5">
      <c r="A1103" s="21" t="s">
        <v>295</v>
      </c>
      <c r="B1103" s="20" t="s">
        <v>277</v>
      </c>
      <c r="C1103" s="19"/>
      <c r="D1103" s="18"/>
    </row>
    <row r="1104" spans="1:4" ht="12.75">
      <c r="A1104" s="19" t="s">
        <v>278</v>
      </c>
      <c r="B1104" s="19" t="s">
        <v>279</v>
      </c>
      <c r="C1104" s="19"/>
      <c r="D1104" s="18"/>
    </row>
    <row r="1105" spans="1:4" ht="12.75">
      <c r="A1105" s="19" t="s">
        <v>280</v>
      </c>
      <c r="B1105" s="19"/>
      <c r="C1105" s="19"/>
      <c r="D1105" s="18"/>
    </row>
    <row r="1106" spans="1:4" ht="12.75">
      <c r="A1106" s="19" t="s">
        <v>281</v>
      </c>
      <c r="B1106" s="19"/>
      <c r="C1106" s="19"/>
      <c r="D1106" s="18"/>
    </row>
    <row r="1107" spans="1:4" ht="12.75">
      <c r="A1107" s="19" t="s">
        <v>282</v>
      </c>
      <c r="B1107" s="19"/>
      <c r="C1107" s="19"/>
      <c r="D1107" s="18"/>
    </row>
    <row r="1108" ht="12.75">
      <c r="A1108" s="1"/>
    </row>
    <row r="1109" ht="12.75">
      <c r="A1109" s="1" t="s">
        <v>283</v>
      </c>
    </row>
    <row r="1110" spans="1:3" ht="12.75">
      <c r="A1110" s="1" t="s">
        <v>284</v>
      </c>
      <c r="C1110" t="s">
        <v>291</v>
      </c>
    </row>
    <row r="1111" ht="12.75">
      <c r="A1111" s="1"/>
    </row>
    <row r="1112" ht="12.75">
      <c r="A1112" s="1" t="s">
        <v>285</v>
      </c>
    </row>
    <row r="1113" ht="12.75">
      <c r="A1113" s="1"/>
    </row>
    <row r="1114" ht="12.75">
      <c r="A1114" s="1" t="s">
        <v>396</v>
      </c>
    </row>
    <row r="1115" ht="12.75">
      <c r="A1115" s="1" t="s">
        <v>287</v>
      </c>
    </row>
    <row r="1116" ht="12.75">
      <c r="A1116" s="9"/>
    </row>
    <row r="1117" ht="12.75">
      <c r="A1117" s="9"/>
    </row>
    <row r="1118" spans="1:4" ht="36.75" customHeight="1">
      <c r="A1118" s="49" t="s">
        <v>288</v>
      </c>
      <c r="B1118" s="49"/>
      <c r="C1118" s="49"/>
      <c r="D1118" s="49"/>
    </row>
    <row r="1119" ht="12.75">
      <c r="A1119" s="10"/>
    </row>
    <row r="1120" ht="12.75">
      <c r="A1120" s="10"/>
    </row>
    <row r="1121" ht="12.75">
      <c r="A1121" s="10"/>
    </row>
    <row r="1122" ht="12.75">
      <c r="A1122" s="1" t="s">
        <v>286</v>
      </c>
    </row>
    <row r="1123" ht="12.75">
      <c r="A1123" s="1" t="s">
        <v>289</v>
      </c>
    </row>
    <row r="1124" ht="12.75">
      <c r="A1124" s="11"/>
    </row>
    <row r="1127" spans="1:12" ht="15.75">
      <c r="A1127" s="46" t="s">
        <v>262</v>
      </c>
      <c r="B1127" s="46"/>
      <c r="C1127" s="46"/>
      <c r="D1127" s="46"/>
      <c r="E1127" s="46"/>
      <c r="F1127" s="46"/>
      <c r="G1127" s="46"/>
      <c r="H1127" s="46"/>
      <c r="I1127" s="46"/>
      <c r="J1127" s="46"/>
      <c r="K1127" s="46"/>
      <c r="L1127" s="14"/>
    </row>
    <row r="1128" spans="1:12" ht="15.75">
      <c r="A1128" s="46" t="s">
        <v>291</v>
      </c>
      <c r="B1128" s="46"/>
      <c r="C1128" s="46"/>
      <c r="D1128" s="46"/>
      <c r="E1128" s="46"/>
      <c r="F1128" s="46"/>
      <c r="G1128" s="46"/>
      <c r="H1128" s="46"/>
      <c r="I1128" s="46"/>
      <c r="J1128" s="46"/>
      <c r="K1128" s="14"/>
      <c r="L1128" s="14"/>
    </row>
    <row r="1129" spans="1:12" ht="15.75">
      <c r="A1129" s="46" t="s">
        <v>323</v>
      </c>
      <c r="B1129" s="46"/>
      <c r="C1129" s="46"/>
      <c r="D1129" s="46"/>
      <c r="E1129" s="46"/>
      <c r="F1129" s="46"/>
      <c r="G1129" s="46"/>
      <c r="H1129" s="46"/>
      <c r="I1129" s="46"/>
      <c r="J1129" s="46"/>
      <c r="K1129" s="46"/>
      <c r="L1129" s="46"/>
    </row>
    <row r="1130" spans="1:12" ht="54.75" customHeight="1">
      <c r="A1130" s="47" t="s">
        <v>290</v>
      </c>
      <c r="B1130" s="47"/>
      <c r="C1130" s="47"/>
      <c r="D1130" s="47"/>
      <c r="E1130" s="47"/>
      <c r="F1130" s="47"/>
      <c r="G1130" s="47"/>
      <c r="H1130" s="47"/>
      <c r="I1130" s="47"/>
      <c r="J1130" s="47"/>
      <c r="K1130" s="16"/>
      <c r="L1130" s="16"/>
    </row>
    <row r="1131" spans="1:12" ht="12.75">
      <c r="A1131" s="12"/>
      <c r="B1131" s="12"/>
      <c r="C1131" s="12"/>
      <c r="D1131" s="12"/>
      <c r="E1131" s="12"/>
      <c r="F1131" s="12"/>
      <c r="G1131" s="12"/>
      <c r="H1131" s="12"/>
      <c r="I1131" s="12"/>
      <c r="J1131" s="12"/>
      <c r="K1131" s="13"/>
      <c r="L1131" s="13"/>
    </row>
    <row r="1132" spans="1:12" ht="12.75">
      <c r="A1132" s="18" t="s">
        <v>264</v>
      </c>
      <c r="B1132" s="48" t="s">
        <v>266</v>
      </c>
      <c r="C1132" s="48" t="s">
        <v>267</v>
      </c>
      <c r="D1132" s="18" t="s">
        <v>268</v>
      </c>
      <c r="K1132" s="13"/>
      <c r="L1132" s="13"/>
    </row>
    <row r="1133" spans="1:4" ht="12.75">
      <c r="A1133" s="18" t="s">
        <v>265</v>
      </c>
      <c r="B1133" s="48"/>
      <c r="C1133" s="48"/>
      <c r="D1133" s="18" t="s">
        <v>269</v>
      </c>
    </row>
    <row r="1134" spans="1:4" ht="38.25">
      <c r="A1134" s="19" t="s">
        <v>270</v>
      </c>
      <c r="B1134" s="19" t="s">
        <v>271</v>
      </c>
      <c r="C1134" s="19"/>
      <c r="D1134" s="18">
        <f>D1135+D1136+D1137+D1138+D1139+D1140</f>
        <v>0</v>
      </c>
    </row>
    <row r="1135" spans="1:4" ht="38.25">
      <c r="A1135" s="19" t="s">
        <v>19</v>
      </c>
      <c r="B1135" s="20" t="s">
        <v>272</v>
      </c>
      <c r="C1135" s="19"/>
      <c r="D1135" s="18"/>
    </row>
    <row r="1136" spans="1:4" ht="38.25">
      <c r="A1136" s="19" t="s">
        <v>20</v>
      </c>
      <c r="B1136" s="20" t="s">
        <v>273</v>
      </c>
      <c r="C1136" s="19"/>
      <c r="D1136" s="18"/>
    </row>
    <row r="1137" spans="1:4" ht="38.25">
      <c r="A1137" s="21" t="s">
        <v>293</v>
      </c>
      <c r="B1137" s="20" t="s">
        <v>274</v>
      </c>
      <c r="C1137" s="19"/>
      <c r="D1137" s="18"/>
    </row>
    <row r="1138" spans="1:4" ht="38.25">
      <c r="A1138" s="21" t="s">
        <v>292</v>
      </c>
      <c r="B1138" s="20" t="s">
        <v>275</v>
      </c>
      <c r="C1138" s="19"/>
      <c r="D1138" s="18"/>
    </row>
    <row r="1139" spans="1:4" ht="38.25">
      <c r="A1139" s="21" t="s">
        <v>294</v>
      </c>
      <c r="B1139" s="20" t="s">
        <v>276</v>
      </c>
      <c r="C1139" s="19"/>
      <c r="D1139" s="18"/>
    </row>
    <row r="1140" spans="1:4" ht="25.5">
      <c r="A1140" s="21" t="s">
        <v>295</v>
      </c>
      <c r="B1140" s="20" t="s">
        <v>277</v>
      </c>
      <c r="C1140" s="19"/>
      <c r="D1140" s="18"/>
    </row>
    <row r="1141" spans="1:4" ht="12.75">
      <c r="A1141" s="19" t="s">
        <v>278</v>
      </c>
      <c r="B1141" s="19" t="s">
        <v>279</v>
      </c>
      <c r="C1141" s="19"/>
      <c r="D1141" s="18">
        <f>D1142</f>
        <v>0</v>
      </c>
    </row>
    <row r="1142" spans="1:4" ht="12.75">
      <c r="A1142" s="19" t="s">
        <v>280</v>
      </c>
      <c r="B1142" s="19"/>
      <c r="C1142" s="19"/>
      <c r="D1142" s="18"/>
    </row>
    <row r="1143" spans="1:4" ht="12.75">
      <c r="A1143" s="19" t="s">
        <v>281</v>
      </c>
      <c r="B1143" s="19"/>
      <c r="C1143" s="19"/>
      <c r="D1143" s="18"/>
    </row>
    <row r="1144" spans="1:4" ht="12.75">
      <c r="A1144" s="19" t="s">
        <v>282</v>
      </c>
      <c r="B1144" s="19"/>
      <c r="C1144" s="19"/>
      <c r="D1144" s="18"/>
    </row>
    <row r="1145" ht="12.75">
      <c r="A1145" s="1"/>
    </row>
    <row r="1146" ht="12.75">
      <c r="A1146" s="1" t="s">
        <v>283</v>
      </c>
    </row>
    <row r="1147" spans="1:3" ht="12.75">
      <c r="A1147" s="1" t="s">
        <v>284</v>
      </c>
      <c r="C1147" t="s">
        <v>291</v>
      </c>
    </row>
    <row r="1148" ht="12.75">
      <c r="A1148" s="1"/>
    </row>
    <row r="1149" ht="12.75">
      <c r="A1149" s="1" t="s">
        <v>285</v>
      </c>
    </row>
    <row r="1150" ht="12.75">
      <c r="A1150" s="1"/>
    </row>
    <row r="1151" ht="12.75">
      <c r="A1151" s="1" t="s">
        <v>396</v>
      </c>
    </row>
    <row r="1152" ht="12.75">
      <c r="A1152" s="1" t="s">
        <v>287</v>
      </c>
    </row>
    <row r="1153" ht="12.75">
      <c r="A1153" s="9"/>
    </row>
    <row r="1154" ht="12.75">
      <c r="A1154" s="9"/>
    </row>
    <row r="1155" spans="1:4" ht="36.75" customHeight="1">
      <c r="A1155" s="49" t="s">
        <v>288</v>
      </c>
      <c r="B1155" s="49"/>
      <c r="C1155" s="49"/>
      <c r="D1155" s="49"/>
    </row>
    <row r="1156" ht="12.75">
      <c r="A1156" s="10"/>
    </row>
    <row r="1157" ht="12.75">
      <c r="A1157" s="10"/>
    </row>
    <row r="1158" ht="12.75">
      <c r="A1158" s="10"/>
    </row>
    <row r="1159" ht="12.75">
      <c r="A1159" s="1" t="s">
        <v>286</v>
      </c>
    </row>
    <row r="1160" ht="12.75">
      <c r="A1160" s="1" t="s">
        <v>289</v>
      </c>
    </row>
    <row r="1161" ht="42.75" customHeight="1">
      <c r="A1161" s="11"/>
    </row>
    <row r="1162" spans="1:12" ht="15.75">
      <c r="A1162" s="46" t="s">
        <v>262</v>
      </c>
      <c r="B1162" s="46"/>
      <c r="C1162" s="46"/>
      <c r="D1162" s="46"/>
      <c r="E1162" s="46"/>
      <c r="F1162" s="46"/>
      <c r="G1162" s="46"/>
      <c r="H1162" s="46"/>
      <c r="I1162" s="46"/>
      <c r="J1162" s="46"/>
      <c r="K1162" s="46"/>
      <c r="L1162" s="14"/>
    </row>
    <row r="1163" spans="1:12" ht="15.75">
      <c r="A1163" s="46" t="s">
        <v>291</v>
      </c>
      <c r="B1163" s="46"/>
      <c r="C1163" s="46"/>
      <c r="D1163" s="46"/>
      <c r="E1163" s="46"/>
      <c r="F1163" s="46"/>
      <c r="G1163" s="46"/>
      <c r="H1163" s="46"/>
      <c r="I1163" s="46"/>
      <c r="J1163" s="46"/>
      <c r="K1163" s="14"/>
      <c r="L1163" s="14"/>
    </row>
    <row r="1164" spans="1:12" ht="15.75">
      <c r="A1164" s="46" t="s">
        <v>365</v>
      </c>
      <c r="B1164" s="46"/>
      <c r="C1164" s="46"/>
      <c r="D1164" s="46"/>
      <c r="E1164" s="46"/>
      <c r="F1164" s="46"/>
      <c r="G1164" s="46"/>
      <c r="H1164" s="46"/>
      <c r="I1164" s="46"/>
      <c r="J1164" s="46"/>
      <c r="K1164" s="46"/>
      <c r="L1164" s="46"/>
    </row>
    <row r="1165" spans="1:12" ht="15.75">
      <c r="A1165" s="47" t="s">
        <v>290</v>
      </c>
      <c r="B1165" s="47"/>
      <c r="C1165" s="47"/>
      <c r="D1165" s="47"/>
      <c r="E1165" s="47"/>
      <c r="F1165" s="47"/>
      <c r="G1165" s="47"/>
      <c r="H1165" s="47"/>
      <c r="I1165" s="47"/>
      <c r="J1165" s="47"/>
      <c r="K1165" s="16"/>
      <c r="L1165" s="16"/>
    </row>
    <row r="1166" spans="1:12" ht="12.75">
      <c r="A1166" s="12"/>
      <c r="B1166" s="12"/>
      <c r="C1166" s="12"/>
      <c r="D1166" s="12"/>
      <c r="E1166" s="12"/>
      <c r="F1166" s="12"/>
      <c r="G1166" s="12"/>
      <c r="H1166" s="12"/>
      <c r="I1166" s="12"/>
      <c r="J1166" s="12"/>
      <c r="K1166" s="13"/>
      <c r="L1166" s="13"/>
    </row>
    <row r="1167" spans="1:12" ht="12.75">
      <c r="A1167" s="18" t="s">
        <v>264</v>
      </c>
      <c r="B1167" s="48" t="s">
        <v>266</v>
      </c>
      <c r="C1167" s="48" t="s">
        <v>267</v>
      </c>
      <c r="D1167" s="18" t="s">
        <v>268</v>
      </c>
      <c r="K1167" s="13"/>
      <c r="L1167" s="13"/>
    </row>
    <row r="1168" spans="1:4" ht="12.75">
      <c r="A1168" s="18" t="s">
        <v>265</v>
      </c>
      <c r="B1168" s="48"/>
      <c r="C1168" s="48"/>
      <c r="D1168" s="18" t="s">
        <v>269</v>
      </c>
    </row>
    <row r="1169" spans="1:4" ht="38.25">
      <c r="A1169" s="19" t="s">
        <v>270</v>
      </c>
      <c r="B1169" s="19" t="s">
        <v>271</v>
      </c>
      <c r="C1169" s="19"/>
      <c r="D1169" s="18">
        <f>D1170+D1171+D1172+D1173+D1174+D1175</f>
        <v>44681.58</v>
      </c>
    </row>
    <row r="1170" spans="1:4" ht="38.25">
      <c r="A1170" s="19" t="s">
        <v>19</v>
      </c>
      <c r="B1170" s="20" t="s">
        <v>272</v>
      </c>
      <c r="C1170" s="19"/>
      <c r="D1170" s="18">
        <f>34794+9887.58</f>
        <v>44681.58</v>
      </c>
    </row>
    <row r="1171" spans="1:4" ht="38.25">
      <c r="A1171" s="19" t="s">
        <v>20</v>
      </c>
      <c r="B1171" s="20" t="s">
        <v>273</v>
      </c>
      <c r="C1171" s="19"/>
      <c r="D1171" s="18"/>
    </row>
    <row r="1172" spans="1:4" ht="38.25">
      <c r="A1172" s="21" t="s">
        <v>293</v>
      </c>
      <c r="B1172" s="20" t="s">
        <v>274</v>
      </c>
      <c r="C1172" s="19"/>
      <c r="D1172" s="18"/>
    </row>
    <row r="1173" spans="1:4" ht="38.25">
      <c r="A1173" s="21" t="s">
        <v>292</v>
      </c>
      <c r="B1173" s="20" t="s">
        <v>275</v>
      </c>
      <c r="C1173" s="19"/>
      <c r="D1173" s="18"/>
    </row>
    <row r="1174" spans="1:4" ht="38.25">
      <c r="A1174" s="21" t="s">
        <v>294</v>
      </c>
      <c r="B1174" s="20" t="s">
        <v>276</v>
      </c>
      <c r="C1174" s="19"/>
      <c r="D1174" s="18"/>
    </row>
    <row r="1175" spans="1:4" ht="25.5">
      <c r="A1175" s="21" t="s">
        <v>295</v>
      </c>
      <c r="B1175" s="20" t="s">
        <v>277</v>
      </c>
      <c r="C1175" s="19"/>
      <c r="D1175" s="18"/>
    </row>
    <row r="1176" spans="1:4" ht="12.75">
      <c r="A1176" s="19" t="s">
        <v>278</v>
      </c>
      <c r="B1176" s="19" t="s">
        <v>279</v>
      </c>
      <c r="C1176" s="19"/>
      <c r="D1176" s="18"/>
    </row>
    <row r="1177" spans="1:4" ht="38.25">
      <c r="A1177" s="19" t="s">
        <v>280</v>
      </c>
      <c r="B1177" s="19" t="s">
        <v>425</v>
      </c>
      <c r="C1177" s="19"/>
      <c r="D1177" s="18">
        <v>10854.17</v>
      </c>
    </row>
    <row r="1178" spans="1:4" ht="12.75">
      <c r="A1178" s="19" t="s">
        <v>281</v>
      </c>
      <c r="B1178" s="19"/>
      <c r="C1178" s="19"/>
      <c r="D1178" s="18"/>
    </row>
    <row r="1179" spans="1:4" ht="12.75">
      <c r="A1179" s="19" t="s">
        <v>282</v>
      </c>
      <c r="B1179" s="19"/>
      <c r="C1179" s="19"/>
      <c r="D1179" s="18"/>
    </row>
    <row r="1180" ht="12.75">
      <c r="A1180" s="1"/>
    </row>
    <row r="1181" ht="12.75">
      <c r="A1181" s="1" t="s">
        <v>283</v>
      </c>
    </row>
    <row r="1182" spans="1:3" ht="12.75">
      <c r="A1182" s="1" t="s">
        <v>284</v>
      </c>
      <c r="C1182" t="s">
        <v>291</v>
      </c>
    </row>
    <row r="1183" ht="12.75">
      <c r="A1183" s="1"/>
    </row>
    <row r="1184" ht="12.75">
      <c r="A1184" s="1" t="s">
        <v>285</v>
      </c>
    </row>
    <row r="1185" ht="12.75">
      <c r="A1185" s="1"/>
    </row>
    <row r="1186" ht="12.75">
      <c r="A1186" s="1" t="s">
        <v>396</v>
      </c>
    </row>
    <row r="1187" ht="12.75">
      <c r="A1187" s="1" t="s">
        <v>287</v>
      </c>
    </row>
    <row r="1188" ht="12.75">
      <c r="A1188" s="9"/>
    </row>
    <row r="1189" ht="12.75">
      <c r="A1189" s="9"/>
    </row>
    <row r="1190" spans="1:4" ht="12.75" customHeight="1">
      <c r="A1190" s="49" t="s">
        <v>288</v>
      </c>
      <c r="B1190" s="49"/>
      <c r="C1190" s="49"/>
      <c r="D1190" s="49"/>
    </row>
    <row r="1191" ht="12.75">
      <c r="A1191" s="10"/>
    </row>
    <row r="1192" ht="12.75">
      <c r="A1192" s="10"/>
    </row>
    <row r="1193" ht="12.75">
      <c r="A1193" s="10"/>
    </row>
    <row r="1194" ht="12.75">
      <c r="A1194" s="1" t="s">
        <v>286</v>
      </c>
    </row>
    <row r="1195" ht="12.75">
      <c r="A1195" s="1" t="s">
        <v>289</v>
      </c>
    </row>
    <row r="1196" ht="12.75">
      <c r="A1196" s="11"/>
    </row>
    <row r="1197" ht="12.75">
      <c r="A1197" s="11"/>
    </row>
    <row r="1198" ht="12.75">
      <c r="A1198" s="11"/>
    </row>
    <row r="1199" ht="12.75">
      <c r="A1199" s="11"/>
    </row>
    <row r="1200" ht="12.75">
      <c r="A1200" s="11"/>
    </row>
    <row r="1201" ht="41.25" customHeight="1">
      <c r="A1201" s="11"/>
    </row>
    <row r="1202" spans="1:12" ht="15.75">
      <c r="A1202" s="46" t="s">
        <v>262</v>
      </c>
      <c r="B1202" s="46"/>
      <c r="C1202" s="46"/>
      <c r="D1202" s="46"/>
      <c r="E1202" s="46"/>
      <c r="F1202" s="46"/>
      <c r="G1202" s="46"/>
      <c r="H1202" s="46"/>
      <c r="I1202" s="46"/>
      <c r="J1202" s="46"/>
      <c r="K1202" s="46"/>
      <c r="L1202" s="14"/>
    </row>
    <row r="1203" spans="1:12" ht="15.75">
      <c r="A1203" s="46" t="s">
        <v>291</v>
      </c>
      <c r="B1203" s="46"/>
      <c r="C1203" s="46"/>
      <c r="D1203" s="46"/>
      <c r="E1203" s="46"/>
      <c r="F1203" s="46"/>
      <c r="G1203" s="46"/>
      <c r="H1203" s="46"/>
      <c r="I1203" s="46"/>
      <c r="J1203" s="46"/>
      <c r="K1203" s="14"/>
      <c r="L1203" s="14"/>
    </row>
    <row r="1204" spans="1:12" ht="15.75">
      <c r="A1204" s="46" t="s">
        <v>364</v>
      </c>
      <c r="B1204" s="46"/>
      <c r="C1204" s="46"/>
      <c r="D1204" s="46"/>
      <c r="E1204" s="46"/>
      <c r="F1204" s="46"/>
      <c r="G1204" s="46"/>
      <c r="H1204" s="46"/>
      <c r="I1204" s="46"/>
      <c r="J1204" s="46"/>
      <c r="K1204" s="46"/>
      <c r="L1204" s="46"/>
    </row>
    <row r="1205" spans="1:12" ht="15.75">
      <c r="A1205" s="47" t="s">
        <v>290</v>
      </c>
      <c r="B1205" s="47"/>
      <c r="C1205" s="47"/>
      <c r="D1205" s="47"/>
      <c r="E1205" s="47"/>
      <c r="F1205" s="47"/>
      <c r="G1205" s="47"/>
      <c r="H1205" s="47"/>
      <c r="I1205" s="47"/>
      <c r="J1205" s="47"/>
      <c r="K1205" s="16"/>
      <c r="L1205" s="16"/>
    </row>
    <row r="1206" spans="1:12" ht="12.75">
      <c r="A1206" s="12"/>
      <c r="B1206" s="12"/>
      <c r="C1206" s="12"/>
      <c r="D1206" s="12"/>
      <c r="E1206" s="12"/>
      <c r="F1206" s="12"/>
      <c r="G1206" s="12"/>
      <c r="H1206" s="12"/>
      <c r="I1206" s="12"/>
      <c r="J1206" s="12"/>
      <c r="K1206" s="13"/>
      <c r="L1206" s="13"/>
    </row>
    <row r="1207" spans="1:12" ht="12.75">
      <c r="A1207" s="18" t="s">
        <v>264</v>
      </c>
      <c r="B1207" s="48" t="s">
        <v>266</v>
      </c>
      <c r="C1207" s="48" t="s">
        <v>267</v>
      </c>
      <c r="D1207" s="18" t="s">
        <v>268</v>
      </c>
      <c r="K1207" s="13"/>
      <c r="L1207" s="13"/>
    </row>
    <row r="1208" spans="1:4" ht="12.75">
      <c r="A1208" s="18" t="s">
        <v>265</v>
      </c>
      <c r="B1208" s="48"/>
      <c r="C1208" s="48"/>
      <c r="D1208" s="18" t="s">
        <v>269</v>
      </c>
    </row>
    <row r="1209" spans="1:4" ht="38.25">
      <c r="A1209" s="19" t="s">
        <v>270</v>
      </c>
      <c r="B1209" s="19" t="s">
        <v>271</v>
      </c>
      <c r="C1209" s="19"/>
      <c r="D1209" s="18">
        <f>D1210+D1211+D1212+D1213+D1214+D1215</f>
        <v>0</v>
      </c>
    </row>
    <row r="1210" spans="1:4" ht="38.25">
      <c r="A1210" s="19" t="s">
        <v>19</v>
      </c>
      <c r="B1210" s="20" t="s">
        <v>272</v>
      </c>
      <c r="C1210" s="19"/>
      <c r="D1210" s="18"/>
    </row>
    <row r="1211" spans="1:4" ht="38.25">
      <c r="A1211" s="19" t="s">
        <v>20</v>
      </c>
      <c r="B1211" s="20" t="s">
        <v>273</v>
      </c>
      <c r="C1211" s="19"/>
      <c r="D1211" s="18"/>
    </row>
    <row r="1212" spans="1:4" ht="38.25">
      <c r="A1212" s="21" t="s">
        <v>293</v>
      </c>
      <c r="B1212" s="20" t="s">
        <v>274</v>
      </c>
      <c r="C1212" s="19"/>
      <c r="D1212" s="18"/>
    </row>
    <row r="1213" spans="1:4" ht="38.25">
      <c r="A1213" s="21" t="s">
        <v>292</v>
      </c>
      <c r="B1213" s="20" t="s">
        <v>275</v>
      </c>
      <c r="C1213" s="19"/>
      <c r="D1213" s="18"/>
    </row>
    <row r="1214" spans="1:4" ht="38.25">
      <c r="A1214" s="21" t="s">
        <v>294</v>
      </c>
      <c r="B1214" s="20" t="s">
        <v>276</v>
      </c>
      <c r="C1214" s="19"/>
      <c r="D1214" s="18"/>
    </row>
    <row r="1215" spans="1:4" ht="25.5">
      <c r="A1215" s="21" t="s">
        <v>295</v>
      </c>
      <c r="B1215" s="20" t="s">
        <v>277</v>
      </c>
      <c r="C1215" s="19"/>
      <c r="D1215" s="18"/>
    </row>
    <row r="1216" spans="1:4" ht="12.75">
      <c r="A1216" s="19" t="s">
        <v>278</v>
      </c>
      <c r="B1216" s="19" t="s">
        <v>279</v>
      </c>
      <c r="C1216" s="19"/>
      <c r="D1216" s="18"/>
    </row>
    <row r="1217" spans="1:4" ht="12.75">
      <c r="A1217" s="19" t="s">
        <v>280</v>
      </c>
      <c r="B1217" s="19"/>
      <c r="C1217" s="19"/>
      <c r="D1217" s="18"/>
    </row>
    <row r="1218" spans="1:4" ht="12.75">
      <c r="A1218" s="19" t="s">
        <v>281</v>
      </c>
      <c r="B1218" s="19"/>
      <c r="C1218" s="19"/>
      <c r="D1218" s="18"/>
    </row>
    <row r="1219" spans="1:4" ht="12.75">
      <c r="A1219" s="19" t="s">
        <v>282</v>
      </c>
      <c r="B1219" s="19"/>
      <c r="C1219" s="19"/>
      <c r="D1219" s="18"/>
    </row>
    <row r="1220" ht="12.75">
      <c r="A1220" s="1"/>
    </row>
    <row r="1221" ht="12.75">
      <c r="A1221" s="1" t="s">
        <v>283</v>
      </c>
    </row>
    <row r="1222" spans="1:3" ht="12.75">
      <c r="A1222" s="1" t="s">
        <v>284</v>
      </c>
      <c r="C1222" t="s">
        <v>291</v>
      </c>
    </row>
    <row r="1223" ht="12.75">
      <c r="A1223" s="1"/>
    </row>
    <row r="1224" ht="12.75">
      <c r="A1224" s="1" t="s">
        <v>285</v>
      </c>
    </row>
    <row r="1225" ht="12.75">
      <c r="A1225" s="1"/>
    </row>
    <row r="1226" ht="12.75">
      <c r="A1226" s="1" t="s">
        <v>396</v>
      </c>
    </row>
    <row r="1227" ht="12.75">
      <c r="A1227" s="1" t="s">
        <v>287</v>
      </c>
    </row>
    <row r="1228" ht="12.75">
      <c r="A1228" s="9"/>
    </row>
    <row r="1229" ht="12.75">
      <c r="A1229" s="9"/>
    </row>
    <row r="1230" spans="1:4" ht="12.75" customHeight="1">
      <c r="A1230" s="49" t="s">
        <v>288</v>
      </c>
      <c r="B1230" s="49"/>
      <c r="C1230" s="49"/>
      <c r="D1230" s="49"/>
    </row>
    <row r="1231" ht="12.75">
      <c r="A1231" s="10"/>
    </row>
    <row r="1232" ht="12.75">
      <c r="A1232" s="10"/>
    </row>
    <row r="1233" ht="12.75">
      <c r="A1233" s="10"/>
    </row>
    <row r="1234" ht="12.75">
      <c r="A1234" s="1" t="s">
        <v>286</v>
      </c>
    </row>
    <row r="1235" ht="12.75">
      <c r="A1235" s="1" t="s">
        <v>289</v>
      </c>
    </row>
    <row r="1236" ht="12.75">
      <c r="A1236" s="1"/>
    </row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24.75" customHeight="1"/>
    <row r="1274" spans="1:12" ht="15.75">
      <c r="A1274" s="46" t="s">
        <v>262</v>
      </c>
      <c r="B1274" s="46"/>
      <c r="C1274" s="46"/>
      <c r="D1274" s="46"/>
      <c r="E1274" s="46"/>
      <c r="F1274" s="46"/>
      <c r="G1274" s="46"/>
      <c r="H1274" s="46"/>
      <c r="I1274" s="46"/>
      <c r="J1274" s="46"/>
      <c r="K1274" s="46"/>
      <c r="L1274" s="14"/>
    </row>
    <row r="1275" spans="1:12" ht="15.75">
      <c r="A1275" s="46" t="s">
        <v>291</v>
      </c>
      <c r="B1275" s="46"/>
      <c r="C1275" s="46"/>
      <c r="D1275" s="46"/>
      <c r="E1275" s="46"/>
      <c r="F1275" s="46"/>
      <c r="G1275" s="46"/>
      <c r="H1275" s="46"/>
      <c r="I1275" s="46"/>
      <c r="J1275" s="46"/>
      <c r="K1275" s="14"/>
      <c r="L1275" s="14"/>
    </row>
    <row r="1276" spans="1:12" ht="15.75">
      <c r="A1276" s="46" t="s">
        <v>324</v>
      </c>
      <c r="B1276" s="46"/>
      <c r="C1276" s="46"/>
      <c r="D1276" s="46"/>
      <c r="E1276" s="46"/>
      <c r="F1276" s="46"/>
      <c r="G1276" s="46"/>
      <c r="H1276" s="46"/>
      <c r="I1276" s="46"/>
      <c r="J1276" s="46"/>
      <c r="K1276" s="46"/>
      <c r="L1276" s="46"/>
    </row>
    <row r="1277" spans="1:12" ht="54.75" customHeight="1">
      <c r="A1277" s="47" t="s">
        <v>290</v>
      </c>
      <c r="B1277" s="47"/>
      <c r="C1277" s="47"/>
      <c r="D1277" s="47"/>
      <c r="E1277" s="47"/>
      <c r="F1277" s="47"/>
      <c r="G1277" s="47"/>
      <c r="H1277" s="47"/>
      <c r="I1277" s="47"/>
      <c r="J1277" s="47"/>
      <c r="K1277" s="16"/>
      <c r="L1277" s="16"/>
    </row>
    <row r="1278" spans="1:12" ht="12.75">
      <c r="A1278" s="12"/>
      <c r="B1278" s="12"/>
      <c r="C1278" s="12"/>
      <c r="D1278" s="12"/>
      <c r="E1278" s="12"/>
      <c r="F1278" s="12"/>
      <c r="G1278" s="12"/>
      <c r="H1278" s="12"/>
      <c r="I1278" s="12"/>
      <c r="J1278" s="12"/>
      <c r="K1278" s="13"/>
      <c r="L1278" s="13"/>
    </row>
    <row r="1279" spans="1:12" ht="12.75">
      <c r="A1279" s="18" t="s">
        <v>264</v>
      </c>
      <c r="B1279" s="48" t="s">
        <v>266</v>
      </c>
      <c r="C1279" s="48" t="s">
        <v>267</v>
      </c>
      <c r="D1279" s="18" t="s">
        <v>268</v>
      </c>
      <c r="K1279" s="13"/>
      <c r="L1279" s="13"/>
    </row>
    <row r="1280" spans="1:4" ht="12.75">
      <c r="A1280" s="18" t="s">
        <v>265</v>
      </c>
      <c r="B1280" s="48"/>
      <c r="C1280" s="48"/>
      <c r="D1280" s="18" t="s">
        <v>269</v>
      </c>
    </row>
    <row r="1281" spans="1:4" ht="38.25">
      <c r="A1281" s="19" t="s">
        <v>270</v>
      </c>
      <c r="B1281" s="19" t="s">
        <v>271</v>
      </c>
      <c r="C1281" s="19"/>
      <c r="D1281" s="18">
        <f>D1282+D1283+D1284+D1285+D1286+D1287</f>
        <v>16167.82</v>
      </c>
    </row>
    <row r="1282" spans="1:4" ht="38.25">
      <c r="A1282" s="19" t="s">
        <v>19</v>
      </c>
      <c r="B1282" s="20" t="s">
        <v>272</v>
      </c>
      <c r="C1282" s="19"/>
      <c r="D1282" s="18">
        <v>16167.82</v>
      </c>
    </row>
    <row r="1283" spans="1:4" ht="38.25">
      <c r="A1283" s="19" t="s">
        <v>20</v>
      </c>
      <c r="B1283" s="20" t="s">
        <v>273</v>
      </c>
      <c r="C1283" s="19"/>
      <c r="D1283" s="18"/>
    </row>
    <row r="1284" spans="1:4" ht="38.25">
      <c r="A1284" s="21" t="s">
        <v>293</v>
      </c>
      <c r="B1284" s="20" t="s">
        <v>274</v>
      </c>
      <c r="C1284" s="19"/>
      <c r="D1284" s="18"/>
    </row>
    <row r="1285" spans="1:4" ht="38.25">
      <c r="A1285" s="21" t="s">
        <v>292</v>
      </c>
      <c r="B1285" s="20" t="s">
        <v>275</v>
      </c>
      <c r="C1285" s="19"/>
      <c r="D1285" s="18"/>
    </row>
    <row r="1286" spans="1:4" ht="38.25">
      <c r="A1286" s="21" t="s">
        <v>294</v>
      </c>
      <c r="B1286" s="20" t="s">
        <v>276</v>
      </c>
      <c r="C1286" s="19"/>
      <c r="D1286" s="18"/>
    </row>
    <row r="1287" spans="1:4" ht="25.5">
      <c r="A1287" s="21" t="s">
        <v>295</v>
      </c>
      <c r="B1287" s="20" t="s">
        <v>277</v>
      </c>
      <c r="C1287" s="19"/>
      <c r="D1287" s="18"/>
    </row>
    <row r="1288" spans="1:4" ht="12.75">
      <c r="A1288" s="19" t="s">
        <v>278</v>
      </c>
      <c r="B1288" s="19" t="s">
        <v>279</v>
      </c>
      <c r="C1288" s="19"/>
      <c r="D1288" s="18">
        <f>D1289+D1290</f>
        <v>0</v>
      </c>
    </row>
    <row r="1289" spans="1:4" ht="25.5">
      <c r="A1289" s="19" t="s">
        <v>280</v>
      </c>
      <c r="B1289" s="19" t="s">
        <v>344</v>
      </c>
      <c r="C1289" s="19"/>
      <c r="D1289" s="18"/>
    </row>
    <row r="1290" spans="1:4" ht="12.75">
      <c r="A1290" s="19" t="s">
        <v>281</v>
      </c>
      <c r="B1290" s="19"/>
      <c r="C1290" s="19"/>
      <c r="D1290" s="18"/>
    </row>
    <row r="1291" spans="1:4" ht="12.75">
      <c r="A1291" s="19" t="s">
        <v>282</v>
      </c>
      <c r="B1291" s="19"/>
      <c r="C1291" s="19"/>
      <c r="D1291" s="18"/>
    </row>
    <row r="1292" ht="12.75">
      <c r="A1292" s="1"/>
    </row>
    <row r="1293" ht="12.75">
      <c r="A1293" s="1" t="s">
        <v>283</v>
      </c>
    </row>
    <row r="1294" spans="1:3" ht="12.75">
      <c r="A1294" s="1" t="s">
        <v>284</v>
      </c>
      <c r="C1294" t="s">
        <v>291</v>
      </c>
    </row>
    <row r="1295" ht="12.75">
      <c r="A1295" s="1"/>
    </row>
    <row r="1296" ht="12.75">
      <c r="A1296" s="1" t="s">
        <v>285</v>
      </c>
    </row>
    <row r="1297" ht="12.75">
      <c r="A1297" s="1"/>
    </row>
    <row r="1298" ht="12.75">
      <c r="A1298" s="1" t="s">
        <v>396</v>
      </c>
    </row>
    <row r="1299" ht="12.75">
      <c r="A1299" s="1" t="s">
        <v>287</v>
      </c>
    </row>
    <row r="1300" ht="12.75">
      <c r="A1300" s="9"/>
    </row>
    <row r="1301" ht="12.75">
      <c r="A1301" s="9"/>
    </row>
    <row r="1302" spans="1:4" ht="36" customHeight="1">
      <c r="A1302" s="49" t="s">
        <v>288</v>
      </c>
      <c r="B1302" s="49"/>
      <c r="C1302" s="49"/>
      <c r="D1302" s="49"/>
    </row>
    <row r="1303" ht="12.75">
      <c r="A1303" s="10"/>
    </row>
    <row r="1304" ht="12.75">
      <c r="A1304" s="10"/>
    </row>
    <row r="1305" ht="12.75">
      <c r="A1305" s="10"/>
    </row>
    <row r="1306" ht="12.75">
      <c r="A1306" s="1" t="s">
        <v>286</v>
      </c>
    </row>
    <row r="1307" ht="12.75">
      <c r="A1307" s="1" t="s">
        <v>289</v>
      </c>
    </row>
    <row r="1308" ht="12.75">
      <c r="A1308" s="11"/>
    </row>
    <row r="1311" spans="1:12" ht="15.75">
      <c r="A1311" s="46" t="s">
        <v>262</v>
      </c>
      <c r="B1311" s="46"/>
      <c r="C1311" s="46"/>
      <c r="D1311" s="46"/>
      <c r="E1311" s="46"/>
      <c r="F1311" s="46"/>
      <c r="G1311" s="46"/>
      <c r="H1311" s="46"/>
      <c r="I1311" s="46"/>
      <c r="J1311" s="46"/>
      <c r="K1311" s="46"/>
      <c r="L1311" s="14"/>
    </row>
    <row r="1312" spans="1:12" ht="15.75">
      <c r="A1312" s="46" t="s">
        <v>291</v>
      </c>
      <c r="B1312" s="46"/>
      <c r="C1312" s="46"/>
      <c r="D1312" s="46"/>
      <c r="E1312" s="46"/>
      <c r="F1312" s="46"/>
      <c r="G1312" s="46"/>
      <c r="H1312" s="46"/>
      <c r="I1312" s="46"/>
      <c r="J1312" s="46"/>
      <c r="K1312" s="14"/>
      <c r="L1312" s="14"/>
    </row>
    <row r="1313" spans="1:12" ht="15.75">
      <c r="A1313" s="46" t="s">
        <v>325</v>
      </c>
      <c r="B1313" s="46"/>
      <c r="C1313" s="46"/>
      <c r="D1313" s="46"/>
      <c r="E1313" s="46"/>
      <c r="F1313" s="46"/>
      <c r="G1313" s="46"/>
      <c r="H1313" s="46"/>
      <c r="I1313" s="46"/>
      <c r="J1313" s="46"/>
      <c r="K1313" s="46"/>
      <c r="L1313" s="46"/>
    </row>
    <row r="1314" spans="1:12" ht="53.25" customHeight="1">
      <c r="A1314" s="47" t="s">
        <v>290</v>
      </c>
      <c r="B1314" s="47"/>
      <c r="C1314" s="47"/>
      <c r="D1314" s="47"/>
      <c r="E1314" s="47"/>
      <c r="F1314" s="47"/>
      <c r="G1314" s="47"/>
      <c r="H1314" s="47"/>
      <c r="I1314" s="47"/>
      <c r="J1314" s="47"/>
      <c r="K1314" s="16"/>
      <c r="L1314" s="16"/>
    </row>
    <row r="1315" spans="1:12" ht="12.75">
      <c r="A1315" s="12"/>
      <c r="B1315" s="12"/>
      <c r="C1315" s="12"/>
      <c r="D1315" s="12"/>
      <c r="E1315" s="12"/>
      <c r="F1315" s="12"/>
      <c r="G1315" s="12"/>
      <c r="H1315" s="12"/>
      <c r="I1315" s="12"/>
      <c r="J1315" s="12"/>
      <c r="K1315" s="13"/>
      <c r="L1315" s="13"/>
    </row>
    <row r="1316" spans="1:12" ht="12.75">
      <c r="A1316" s="18" t="s">
        <v>264</v>
      </c>
      <c r="B1316" s="48" t="s">
        <v>266</v>
      </c>
      <c r="C1316" s="48" t="s">
        <v>267</v>
      </c>
      <c r="D1316" s="18" t="s">
        <v>268</v>
      </c>
      <c r="K1316" s="13"/>
      <c r="L1316" s="13"/>
    </row>
    <row r="1317" spans="1:4" ht="12.75">
      <c r="A1317" s="18" t="s">
        <v>265</v>
      </c>
      <c r="B1317" s="48"/>
      <c r="C1317" s="48"/>
      <c r="D1317" s="18" t="s">
        <v>269</v>
      </c>
    </row>
    <row r="1318" spans="1:4" ht="38.25">
      <c r="A1318" s="19" t="s">
        <v>270</v>
      </c>
      <c r="B1318" s="19" t="s">
        <v>271</v>
      </c>
      <c r="C1318" s="19"/>
      <c r="D1318" s="18">
        <f>D1319+D1320+D1321+D1322+D1323+D1324</f>
        <v>28947.260000000002</v>
      </c>
    </row>
    <row r="1319" spans="1:4" ht="38.25">
      <c r="A1319" s="19" t="s">
        <v>19</v>
      </c>
      <c r="B1319" s="20" t="s">
        <v>272</v>
      </c>
      <c r="C1319" s="19"/>
      <c r="D1319" s="18">
        <v>27820.86</v>
      </c>
    </row>
    <row r="1320" spans="1:4" ht="38.25">
      <c r="A1320" s="19" t="s">
        <v>20</v>
      </c>
      <c r="B1320" s="20" t="s">
        <v>273</v>
      </c>
      <c r="C1320" s="19"/>
      <c r="D1320" s="18"/>
    </row>
    <row r="1321" spans="1:4" ht="38.25">
      <c r="A1321" s="21" t="s">
        <v>293</v>
      </c>
      <c r="B1321" s="20" t="s">
        <v>274</v>
      </c>
      <c r="C1321" s="19"/>
      <c r="D1321" s="18"/>
    </row>
    <row r="1322" spans="1:4" ht="38.25">
      <c r="A1322" s="21" t="s">
        <v>292</v>
      </c>
      <c r="B1322" s="20" t="s">
        <v>275</v>
      </c>
      <c r="C1322" s="19"/>
      <c r="D1322" s="18">
        <v>1126.4</v>
      </c>
    </row>
    <row r="1323" spans="1:4" ht="38.25">
      <c r="A1323" s="21" t="s">
        <v>294</v>
      </c>
      <c r="B1323" s="20" t="s">
        <v>276</v>
      </c>
      <c r="C1323" s="19"/>
      <c r="D1323" s="18"/>
    </row>
    <row r="1324" spans="1:4" ht="25.5">
      <c r="A1324" s="21" t="s">
        <v>295</v>
      </c>
      <c r="B1324" s="20" t="s">
        <v>277</v>
      </c>
      <c r="C1324" s="19"/>
      <c r="D1324" s="18"/>
    </row>
    <row r="1325" spans="1:4" ht="12.75">
      <c r="A1325" s="19" t="s">
        <v>278</v>
      </c>
      <c r="B1325" s="19" t="s">
        <v>279</v>
      </c>
      <c r="C1325" s="19"/>
      <c r="D1325" s="18">
        <f>D1326</f>
        <v>21187.48</v>
      </c>
    </row>
    <row r="1326" spans="1:4" ht="38.25">
      <c r="A1326" s="19" t="s">
        <v>280</v>
      </c>
      <c r="B1326" s="19" t="s">
        <v>423</v>
      </c>
      <c r="C1326" s="19"/>
      <c r="D1326" s="18">
        <v>21187.48</v>
      </c>
    </row>
    <row r="1327" spans="1:4" ht="12.75">
      <c r="A1327" s="19" t="s">
        <v>281</v>
      </c>
      <c r="B1327" s="19"/>
      <c r="C1327" s="19"/>
      <c r="D1327" s="18"/>
    </row>
    <row r="1328" spans="1:4" ht="12.75">
      <c r="A1328" s="19" t="s">
        <v>282</v>
      </c>
      <c r="B1328" s="19"/>
      <c r="C1328" s="19"/>
      <c r="D1328" s="18"/>
    </row>
    <row r="1329" ht="12.75">
      <c r="A1329" s="1"/>
    </row>
    <row r="1330" ht="12.75">
      <c r="A1330" s="1" t="s">
        <v>283</v>
      </c>
    </row>
    <row r="1331" spans="1:3" ht="12.75">
      <c r="A1331" s="1" t="s">
        <v>284</v>
      </c>
      <c r="C1331" t="s">
        <v>291</v>
      </c>
    </row>
    <row r="1332" ht="12.75">
      <c r="A1332" s="1"/>
    </row>
    <row r="1333" ht="12.75">
      <c r="A1333" s="1" t="s">
        <v>285</v>
      </c>
    </row>
    <row r="1334" ht="12.75">
      <c r="A1334" s="1"/>
    </row>
    <row r="1335" ht="12.75">
      <c r="A1335" s="1" t="s">
        <v>396</v>
      </c>
    </row>
    <row r="1336" ht="12.75">
      <c r="A1336" s="1" t="s">
        <v>287</v>
      </c>
    </row>
    <row r="1337" ht="12.75">
      <c r="A1337" s="9"/>
    </row>
    <row r="1338" ht="12.75">
      <c r="A1338" s="9"/>
    </row>
    <row r="1339" spans="1:4" ht="36.75" customHeight="1">
      <c r="A1339" s="49" t="s">
        <v>288</v>
      </c>
      <c r="B1339" s="49"/>
      <c r="C1339" s="49"/>
      <c r="D1339" s="49"/>
    </row>
    <row r="1340" ht="7.5" customHeight="1">
      <c r="A1340" s="10"/>
    </row>
    <row r="1341" ht="12.75" hidden="1">
      <c r="A1341" s="10"/>
    </row>
    <row r="1342" ht="12.75">
      <c r="A1342" s="10"/>
    </row>
    <row r="1343" ht="12.75">
      <c r="A1343" s="1" t="s">
        <v>286</v>
      </c>
    </row>
    <row r="1344" ht="12.75">
      <c r="A1344" s="1" t="s">
        <v>289</v>
      </c>
    </row>
    <row r="1345" ht="12.75">
      <c r="A1345" s="11"/>
    </row>
    <row r="1346" ht="3" customHeight="1"/>
    <row r="1347" ht="30.75" customHeight="1"/>
    <row r="1348" spans="1:12" ht="15.75">
      <c r="A1348" s="46" t="s">
        <v>262</v>
      </c>
      <c r="B1348" s="46"/>
      <c r="C1348" s="46"/>
      <c r="D1348" s="46"/>
      <c r="E1348" s="46"/>
      <c r="F1348" s="46"/>
      <c r="G1348" s="46"/>
      <c r="H1348" s="46"/>
      <c r="I1348" s="46"/>
      <c r="J1348" s="46"/>
      <c r="K1348" s="46"/>
      <c r="L1348" s="14"/>
    </row>
    <row r="1349" spans="1:12" ht="15.75">
      <c r="A1349" s="46" t="s">
        <v>291</v>
      </c>
      <c r="B1349" s="46"/>
      <c r="C1349" s="46"/>
      <c r="D1349" s="46"/>
      <c r="E1349" s="46"/>
      <c r="F1349" s="46"/>
      <c r="G1349" s="46"/>
      <c r="H1349" s="46"/>
      <c r="I1349" s="46"/>
      <c r="J1349" s="46"/>
      <c r="K1349" s="14"/>
      <c r="L1349" s="14"/>
    </row>
    <row r="1350" spans="1:12" ht="15.75">
      <c r="A1350" s="46" t="s">
        <v>326</v>
      </c>
      <c r="B1350" s="46"/>
      <c r="C1350" s="46"/>
      <c r="D1350" s="46"/>
      <c r="E1350" s="46"/>
      <c r="F1350" s="46"/>
      <c r="G1350" s="46"/>
      <c r="H1350" s="46"/>
      <c r="I1350" s="46"/>
      <c r="J1350" s="46"/>
      <c r="K1350" s="46"/>
      <c r="L1350" s="46"/>
    </row>
    <row r="1351" spans="1:12" ht="52.5" customHeight="1">
      <c r="A1351" s="47" t="s">
        <v>290</v>
      </c>
      <c r="B1351" s="47"/>
      <c r="C1351" s="47"/>
      <c r="D1351" s="47"/>
      <c r="E1351" s="47"/>
      <c r="F1351" s="47"/>
      <c r="G1351" s="47"/>
      <c r="H1351" s="47"/>
      <c r="I1351" s="47"/>
      <c r="J1351" s="47"/>
      <c r="K1351" s="16"/>
      <c r="L1351" s="16"/>
    </row>
    <row r="1352" spans="1:12" ht="12.75">
      <c r="A1352" s="12"/>
      <c r="B1352" s="12"/>
      <c r="C1352" s="12"/>
      <c r="D1352" s="12"/>
      <c r="E1352" s="12"/>
      <c r="F1352" s="12"/>
      <c r="G1352" s="12"/>
      <c r="H1352" s="12"/>
      <c r="I1352" s="12"/>
      <c r="J1352" s="12"/>
      <c r="K1352" s="13"/>
      <c r="L1352" s="13"/>
    </row>
    <row r="1353" spans="1:12" ht="12.75">
      <c r="A1353" s="18" t="s">
        <v>264</v>
      </c>
      <c r="B1353" s="48" t="s">
        <v>266</v>
      </c>
      <c r="C1353" s="48" t="s">
        <v>267</v>
      </c>
      <c r="D1353" s="18" t="s">
        <v>268</v>
      </c>
      <c r="K1353" s="13"/>
      <c r="L1353" s="13"/>
    </row>
    <row r="1354" spans="1:4" ht="12.75">
      <c r="A1354" s="18" t="s">
        <v>265</v>
      </c>
      <c r="B1354" s="48"/>
      <c r="C1354" s="48"/>
      <c r="D1354" s="18" t="s">
        <v>269</v>
      </c>
    </row>
    <row r="1355" spans="1:4" ht="38.25">
      <c r="A1355" s="19" t="s">
        <v>270</v>
      </c>
      <c r="B1355" s="19" t="s">
        <v>271</v>
      </c>
      <c r="C1355" s="19"/>
      <c r="D1355" s="18">
        <f>D1356+D1357+D1358+D1359+D1360+D1361</f>
        <v>0</v>
      </c>
    </row>
    <row r="1356" spans="1:4" ht="38.25">
      <c r="A1356" s="19" t="s">
        <v>19</v>
      </c>
      <c r="B1356" s="20" t="s">
        <v>272</v>
      </c>
      <c r="C1356" s="19"/>
      <c r="D1356" s="18"/>
    </row>
    <row r="1357" spans="1:4" ht="38.25">
      <c r="A1357" s="19" t="s">
        <v>20</v>
      </c>
      <c r="B1357" s="20" t="s">
        <v>273</v>
      </c>
      <c r="C1357" s="19"/>
      <c r="D1357" s="18"/>
    </row>
    <row r="1358" spans="1:4" ht="38.25">
      <c r="A1358" s="21" t="s">
        <v>293</v>
      </c>
      <c r="B1358" s="20" t="s">
        <v>274</v>
      </c>
      <c r="C1358" s="19"/>
      <c r="D1358" s="18"/>
    </row>
    <row r="1359" spans="1:4" ht="38.25">
      <c r="A1359" s="21" t="s">
        <v>292</v>
      </c>
      <c r="B1359" s="20" t="s">
        <v>275</v>
      </c>
      <c r="C1359" s="19"/>
      <c r="D1359" s="18"/>
    </row>
    <row r="1360" spans="1:4" ht="38.25">
      <c r="A1360" s="21" t="s">
        <v>294</v>
      </c>
      <c r="B1360" s="20" t="s">
        <v>276</v>
      </c>
      <c r="C1360" s="19"/>
      <c r="D1360" s="18"/>
    </row>
    <row r="1361" spans="1:4" ht="25.5">
      <c r="A1361" s="21" t="s">
        <v>295</v>
      </c>
      <c r="B1361" s="20" t="s">
        <v>277</v>
      </c>
      <c r="C1361" s="19"/>
      <c r="D1361" s="18"/>
    </row>
    <row r="1362" spans="1:4" ht="12.75">
      <c r="A1362" s="19" t="s">
        <v>278</v>
      </c>
      <c r="B1362" s="19" t="s">
        <v>279</v>
      </c>
      <c r="C1362" s="19"/>
      <c r="D1362" s="18"/>
    </row>
    <row r="1363" spans="1:4" ht="12.75">
      <c r="A1363" s="19" t="s">
        <v>280</v>
      </c>
      <c r="B1363" s="19"/>
      <c r="C1363" s="19"/>
      <c r="D1363" s="18"/>
    </row>
    <row r="1364" spans="1:4" ht="12.75">
      <c r="A1364" s="19" t="s">
        <v>281</v>
      </c>
      <c r="B1364" s="19"/>
      <c r="C1364" s="19"/>
      <c r="D1364" s="18"/>
    </row>
    <row r="1365" spans="1:4" ht="12.75">
      <c r="A1365" s="19" t="s">
        <v>282</v>
      </c>
      <c r="B1365" s="19"/>
      <c r="C1365" s="19"/>
      <c r="D1365" s="18"/>
    </row>
    <row r="1366" ht="12.75">
      <c r="A1366" s="1"/>
    </row>
    <row r="1367" ht="12.75">
      <c r="A1367" s="1" t="s">
        <v>283</v>
      </c>
    </row>
    <row r="1368" spans="1:3" ht="12.75">
      <c r="A1368" s="1" t="s">
        <v>284</v>
      </c>
      <c r="C1368" t="s">
        <v>291</v>
      </c>
    </row>
    <row r="1369" ht="12.75">
      <c r="A1369" s="1"/>
    </row>
    <row r="1370" ht="12.75">
      <c r="A1370" s="1" t="s">
        <v>285</v>
      </c>
    </row>
    <row r="1371" ht="12.75">
      <c r="A1371" s="1"/>
    </row>
    <row r="1372" ht="12.75">
      <c r="A1372" s="1" t="s">
        <v>396</v>
      </c>
    </row>
    <row r="1373" ht="12.75">
      <c r="A1373" s="1" t="s">
        <v>287</v>
      </c>
    </row>
    <row r="1374" ht="12.75">
      <c r="A1374" s="9"/>
    </row>
    <row r="1375" ht="12.75">
      <c r="A1375" s="9"/>
    </row>
    <row r="1376" spans="1:4" ht="37.5" customHeight="1">
      <c r="A1376" s="49" t="s">
        <v>288</v>
      </c>
      <c r="B1376" s="49"/>
      <c r="C1376" s="49"/>
      <c r="D1376" s="49"/>
    </row>
    <row r="1377" ht="12.75">
      <c r="A1377" s="10"/>
    </row>
    <row r="1378" ht="12.75">
      <c r="A1378" s="10"/>
    </row>
    <row r="1379" ht="12.75">
      <c r="A1379" s="10"/>
    </row>
    <row r="1380" ht="12.75">
      <c r="A1380" s="1" t="s">
        <v>286</v>
      </c>
    </row>
    <row r="1381" ht="12.75">
      <c r="A1381" s="1" t="s">
        <v>289</v>
      </c>
    </row>
    <row r="1382" ht="12.75">
      <c r="A1382" s="11"/>
    </row>
    <row r="1384" ht="17.25" customHeight="1"/>
    <row r="1385" spans="1:12" ht="15.75">
      <c r="A1385" s="46" t="s">
        <v>262</v>
      </c>
      <c r="B1385" s="46"/>
      <c r="C1385" s="46"/>
      <c r="D1385" s="46"/>
      <c r="E1385" s="46"/>
      <c r="F1385" s="46"/>
      <c r="G1385" s="46"/>
      <c r="H1385" s="46"/>
      <c r="I1385" s="46"/>
      <c r="J1385" s="46"/>
      <c r="K1385" s="46"/>
      <c r="L1385" s="14"/>
    </row>
    <row r="1386" spans="1:12" ht="15.75">
      <c r="A1386" s="46" t="s">
        <v>291</v>
      </c>
      <c r="B1386" s="46"/>
      <c r="C1386" s="46"/>
      <c r="D1386" s="46"/>
      <c r="E1386" s="46"/>
      <c r="F1386" s="46"/>
      <c r="G1386" s="46"/>
      <c r="H1386" s="46"/>
      <c r="I1386" s="46"/>
      <c r="J1386" s="46"/>
      <c r="K1386" s="14"/>
      <c r="L1386" s="14"/>
    </row>
    <row r="1387" spans="1:12" ht="15.75">
      <c r="A1387" s="46" t="s">
        <v>327</v>
      </c>
      <c r="B1387" s="46"/>
      <c r="C1387" s="46"/>
      <c r="D1387" s="46"/>
      <c r="E1387" s="46"/>
      <c r="F1387" s="46"/>
      <c r="G1387" s="46"/>
      <c r="H1387" s="46"/>
      <c r="I1387" s="46"/>
      <c r="J1387" s="46"/>
      <c r="K1387" s="46"/>
      <c r="L1387" s="46"/>
    </row>
    <row r="1388" spans="1:12" ht="54" customHeight="1">
      <c r="A1388" s="47" t="s">
        <v>290</v>
      </c>
      <c r="B1388" s="47"/>
      <c r="C1388" s="47"/>
      <c r="D1388" s="47"/>
      <c r="E1388" s="47"/>
      <c r="F1388" s="47"/>
      <c r="G1388" s="47"/>
      <c r="H1388" s="47"/>
      <c r="I1388" s="47"/>
      <c r="J1388" s="47"/>
      <c r="K1388" s="16"/>
      <c r="L1388" s="16"/>
    </row>
    <row r="1389" spans="1:12" ht="12.75">
      <c r="A1389" s="12"/>
      <c r="B1389" s="12"/>
      <c r="C1389" s="12"/>
      <c r="D1389" s="12"/>
      <c r="E1389" s="12"/>
      <c r="F1389" s="12"/>
      <c r="G1389" s="12"/>
      <c r="H1389" s="12"/>
      <c r="I1389" s="12"/>
      <c r="J1389" s="12"/>
      <c r="K1389" s="13"/>
      <c r="L1389" s="13"/>
    </row>
    <row r="1390" spans="1:12" ht="12.75">
      <c r="A1390" s="18" t="s">
        <v>264</v>
      </c>
      <c r="B1390" s="48" t="s">
        <v>266</v>
      </c>
      <c r="C1390" s="48" t="s">
        <v>267</v>
      </c>
      <c r="D1390" s="18" t="s">
        <v>268</v>
      </c>
      <c r="K1390" s="13"/>
      <c r="L1390" s="13"/>
    </row>
    <row r="1391" spans="1:4" ht="12.75">
      <c r="A1391" s="18" t="s">
        <v>265</v>
      </c>
      <c r="B1391" s="48"/>
      <c r="C1391" s="48"/>
      <c r="D1391" s="18" t="s">
        <v>269</v>
      </c>
    </row>
    <row r="1392" spans="1:4" ht="38.25">
      <c r="A1392" s="19" t="s">
        <v>270</v>
      </c>
      <c r="B1392" s="19" t="s">
        <v>271</v>
      </c>
      <c r="C1392" s="19"/>
      <c r="D1392" s="18">
        <f>D1393+D1394+D1395+D1396+D1397+D1398</f>
        <v>238585.85</v>
      </c>
    </row>
    <row r="1393" spans="1:4" ht="38.25">
      <c r="A1393" s="19" t="s">
        <v>19</v>
      </c>
      <c r="B1393" s="20" t="s">
        <v>272</v>
      </c>
      <c r="C1393" s="19"/>
      <c r="D1393" s="18"/>
    </row>
    <row r="1394" spans="1:4" ht="38.25">
      <c r="A1394" s="19" t="s">
        <v>20</v>
      </c>
      <c r="B1394" s="20" t="s">
        <v>273</v>
      </c>
      <c r="C1394" s="19"/>
      <c r="D1394" s="18">
        <f>1134.83+21468.73+180813.73</f>
        <v>203417.29</v>
      </c>
    </row>
    <row r="1395" spans="1:4" ht="38.25">
      <c r="A1395" s="21" t="s">
        <v>293</v>
      </c>
      <c r="B1395" s="20" t="s">
        <v>274</v>
      </c>
      <c r="C1395" s="19"/>
      <c r="D1395" s="18">
        <f>767.4+1007+4000.94</f>
        <v>5775.34</v>
      </c>
    </row>
    <row r="1396" spans="1:4" ht="38.25">
      <c r="A1396" s="21" t="s">
        <v>292</v>
      </c>
      <c r="B1396" s="20" t="s">
        <v>275</v>
      </c>
      <c r="C1396" s="19"/>
      <c r="D1396" s="18">
        <f>383+7000.44</f>
        <v>7383.44</v>
      </c>
    </row>
    <row r="1397" spans="1:4" ht="38.25">
      <c r="A1397" s="21" t="s">
        <v>294</v>
      </c>
      <c r="B1397" s="20" t="s">
        <v>276</v>
      </c>
      <c r="C1397" s="19"/>
      <c r="D1397" s="18">
        <f>18277.74+2627.04+1105</f>
        <v>22009.780000000002</v>
      </c>
    </row>
    <row r="1398" spans="1:4" ht="25.5">
      <c r="A1398" s="21" t="s">
        <v>295</v>
      </c>
      <c r="B1398" s="20" t="s">
        <v>277</v>
      </c>
      <c r="C1398" s="19"/>
      <c r="D1398" s="18"/>
    </row>
    <row r="1399" spans="1:4" ht="12.75">
      <c r="A1399" s="19" t="s">
        <v>278</v>
      </c>
      <c r="B1399" s="19" t="s">
        <v>279</v>
      </c>
      <c r="C1399" s="19"/>
      <c r="D1399" s="18">
        <f>D1400</f>
        <v>0</v>
      </c>
    </row>
    <row r="1400" spans="1:4" ht="25.5">
      <c r="A1400" s="19" t="s">
        <v>280</v>
      </c>
      <c r="B1400" s="19" t="s">
        <v>399</v>
      </c>
      <c r="C1400" s="19"/>
      <c r="D1400" s="18"/>
    </row>
    <row r="1401" spans="1:4" ht="12.75">
      <c r="A1401" s="19" t="s">
        <v>281</v>
      </c>
      <c r="B1401" s="19"/>
      <c r="C1401" s="19"/>
      <c r="D1401" s="18"/>
    </row>
    <row r="1402" spans="1:4" ht="12.75">
      <c r="A1402" s="19" t="s">
        <v>282</v>
      </c>
      <c r="B1402" s="19"/>
      <c r="C1402" s="19"/>
      <c r="D1402" s="18"/>
    </row>
    <row r="1403" ht="12.75">
      <c r="A1403" s="1"/>
    </row>
    <row r="1404" ht="12.75">
      <c r="A1404" s="1" t="s">
        <v>283</v>
      </c>
    </row>
    <row r="1405" spans="1:3" ht="12.75">
      <c r="A1405" s="1" t="s">
        <v>284</v>
      </c>
      <c r="C1405" t="s">
        <v>291</v>
      </c>
    </row>
    <row r="1406" ht="12.75">
      <c r="A1406" s="1"/>
    </row>
    <row r="1407" ht="12.75">
      <c r="A1407" s="1" t="s">
        <v>285</v>
      </c>
    </row>
    <row r="1408" ht="12.75">
      <c r="A1408" s="1"/>
    </row>
    <row r="1409" ht="12.75">
      <c r="A1409" s="1" t="s">
        <v>396</v>
      </c>
    </row>
    <row r="1410" ht="12.75">
      <c r="A1410" s="1" t="s">
        <v>287</v>
      </c>
    </row>
    <row r="1411" ht="12.75">
      <c r="A1411" s="9"/>
    </row>
    <row r="1412" ht="12.75">
      <c r="A1412" s="9"/>
    </row>
    <row r="1413" spans="1:4" ht="39.75" customHeight="1">
      <c r="A1413" s="49" t="s">
        <v>288</v>
      </c>
      <c r="B1413" s="49"/>
      <c r="C1413" s="49"/>
      <c r="D1413" s="49"/>
    </row>
    <row r="1414" ht="3.75" customHeight="1">
      <c r="A1414" s="10"/>
    </row>
    <row r="1415" ht="12.75" hidden="1">
      <c r="A1415" s="10"/>
    </row>
    <row r="1416" ht="12" customHeight="1">
      <c r="A1416" s="10"/>
    </row>
    <row r="1417" ht="23.25" customHeight="1" hidden="1">
      <c r="A1417" s="1" t="s">
        <v>286</v>
      </c>
    </row>
    <row r="1418" ht="12.75" hidden="1">
      <c r="A1418" s="1" t="s">
        <v>289</v>
      </c>
    </row>
    <row r="1419" ht="2.25" customHeight="1">
      <c r="A1419" s="11"/>
    </row>
    <row r="1420" ht="12.75" hidden="1"/>
    <row r="1421" ht="12.75" hidden="1"/>
    <row r="1422" spans="1:12" ht="15.75">
      <c r="A1422" s="46" t="s">
        <v>262</v>
      </c>
      <c r="B1422" s="46"/>
      <c r="C1422" s="46"/>
      <c r="D1422" s="46"/>
      <c r="E1422" s="46"/>
      <c r="F1422" s="46"/>
      <c r="G1422" s="46"/>
      <c r="H1422" s="46"/>
      <c r="I1422" s="46"/>
      <c r="J1422" s="46"/>
      <c r="K1422" s="46"/>
      <c r="L1422" s="14"/>
    </row>
    <row r="1423" spans="1:12" ht="15.75">
      <c r="A1423" s="46" t="s">
        <v>291</v>
      </c>
      <c r="B1423" s="46"/>
      <c r="C1423" s="46"/>
      <c r="D1423" s="46"/>
      <c r="E1423" s="46"/>
      <c r="F1423" s="46"/>
      <c r="G1423" s="46"/>
      <c r="H1423" s="46"/>
      <c r="I1423" s="46"/>
      <c r="J1423" s="46"/>
      <c r="K1423" s="14"/>
      <c r="L1423" s="14"/>
    </row>
    <row r="1424" spans="1:12" ht="15.75">
      <c r="A1424" s="46" t="s">
        <v>328</v>
      </c>
      <c r="B1424" s="46"/>
      <c r="C1424" s="46"/>
      <c r="D1424" s="46"/>
      <c r="E1424" s="46"/>
      <c r="F1424" s="46"/>
      <c r="G1424" s="46"/>
      <c r="H1424" s="46"/>
      <c r="I1424" s="46"/>
      <c r="J1424" s="46"/>
      <c r="K1424" s="46"/>
      <c r="L1424" s="46"/>
    </row>
    <row r="1425" spans="1:12" ht="54.75" customHeight="1">
      <c r="A1425" s="47" t="s">
        <v>290</v>
      </c>
      <c r="B1425" s="47"/>
      <c r="C1425" s="47"/>
      <c r="D1425" s="47"/>
      <c r="E1425" s="47"/>
      <c r="F1425" s="47"/>
      <c r="G1425" s="47"/>
      <c r="H1425" s="47"/>
      <c r="I1425" s="47"/>
      <c r="J1425" s="47"/>
      <c r="K1425" s="16"/>
      <c r="L1425" s="16"/>
    </row>
    <row r="1426" spans="1:12" ht="12.75">
      <c r="A1426" s="12"/>
      <c r="B1426" s="12"/>
      <c r="C1426" s="12"/>
      <c r="D1426" s="12"/>
      <c r="E1426" s="12"/>
      <c r="F1426" s="12"/>
      <c r="G1426" s="12"/>
      <c r="H1426" s="12"/>
      <c r="I1426" s="12"/>
      <c r="J1426" s="12"/>
      <c r="K1426" s="13"/>
      <c r="L1426" s="13"/>
    </row>
    <row r="1427" spans="1:12" ht="12.75">
      <c r="A1427" s="18" t="s">
        <v>264</v>
      </c>
      <c r="B1427" s="48" t="s">
        <v>266</v>
      </c>
      <c r="C1427" s="48" t="s">
        <v>267</v>
      </c>
      <c r="D1427" s="18" t="s">
        <v>268</v>
      </c>
      <c r="K1427" s="13"/>
      <c r="L1427" s="13"/>
    </row>
    <row r="1428" spans="1:4" ht="12.75">
      <c r="A1428" s="18" t="s">
        <v>265</v>
      </c>
      <c r="B1428" s="48"/>
      <c r="C1428" s="48"/>
      <c r="D1428" s="18" t="s">
        <v>269</v>
      </c>
    </row>
    <row r="1429" spans="1:4" ht="38.25">
      <c r="A1429" s="19" t="s">
        <v>270</v>
      </c>
      <c r="B1429" s="19" t="s">
        <v>271</v>
      </c>
      <c r="C1429" s="19"/>
      <c r="D1429" s="18">
        <f>D1430+D1431+D1432+D1433+D1434+D1435</f>
        <v>32513.32</v>
      </c>
    </row>
    <row r="1430" spans="1:4" ht="38.25">
      <c r="A1430" s="19" t="s">
        <v>19</v>
      </c>
      <c r="B1430" s="20" t="s">
        <v>272</v>
      </c>
      <c r="C1430" s="19"/>
      <c r="D1430" s="18">
        <f>3255.23+3952.25</f>
        <v>7207.48</v>
      </c>
    </row>
    <row r="1431" spans="1:4" ht="38.25">
      <c r="A1431" s="19" t="s">
        <v>20</v>
      </c>
      <c r="B1431" s="20" t="s">
        <v>273</v>
      </c>
      <c r="C1431" s="19"/>
      <c r="D1431" s="18">
        <v>25305.84</v>
      </c>
    </row>
    <row r="1432" spans="1:4" ht="38.25">
      <c r="A1432" s="21" t="s">
        <v>293</v>
      </c>
      <c r="B1432" s="20" t="s">
        <v>274</v>
      </c>
      <c r="C1432" s="19"/>
      <c r="D1432" s="18"/>
    </row>
    <row r="1433" spans="1:4" ht="38.25">
      <c r="A1433" s="21" t="s">
        <v>292</v>
      </c>
      <c r="B1433" s="20" t="s">
        <v>275</v>
      </c>
      <c r="C1433" s="19"/>
      <c r="D1433" s="18"/>
    </row>
    <row r="1434" spans="1:4" ht="38.25">
      <c r="A1434" s="21" t="s">
        <v>294</v>
      </c>
      <c r="B1434" s="20" t="s">
        <v>276</v>
      </c>
      <c r="C1434" s="19"/>
      <c r="D1434" s="18"/>
    </row>
    <row r="1435" spans="1:4" ht="25.5">
      <c r="A1435" s="21" t="s">
        <v>295</v>
      </c>
      <c r="B1435" s="20" t="s">
        <v>277</v>
      </c>
      <c r="C1435" s="19"/>
      <c r="D1435" s="18"/>
    </row>
    <row r="1436" spans="1:4" ht="12.75">
      <c r="A1436" s="19" t="s">
        <v>278</v>
      </c>
      <c r="B1436" s="19" t="s">
        <v>279</v>
      </c>
      <c r="C1436" s="19"/>
      <c r="D1436" s="18">
        <f>D1437</f>
        <v>0</v>
      </c>
    </row>
    <row r="1437" spans="1:4" ht="12.75">
      <c r="A1437" s="19" t="s">
        <v>280</v>
      </c>
      <c r="B1437" s="19"/>
      <c r="C1437" s="19"/>
      <c r="D1437" s="18"/>
    </row>
    <row r="1438" spans="1:4" ht="12.75">
      <c r="A1438" s="19" t="s">
        <v>281</v>
      </c>
      <c r="B1438" s="19"/>
      <c r="C1438" s="19"/>
      <c r="D1438" s="18"/>
    </row>
    <row r="1439" spans="1:4" ht="12.75">
      <c r="A1439" s="19" t="s">
        <v>282</v>
      </c>
      <c r="B1439" s="19"/>
      <c r="C1439" s="19"/>
      <c r="D1439" s="18"/>
    </row>
    <row r="1440" ht="12.75">
      <c r="A1440" s="1"/>
    </row>
    <row r="1441" ht="12.75">
      <c r="A1441" s="1" t="s">
        <v>283</v>
      </c>
    </row>
    <row r="1442" spans="1:3" ht="12.75">
      <c r="A1442" s="1" t="s">
        <v>284</v>
      </c>
      <c r="C1442" t="s">
        <v>291</v>
      </c>
    </row>
    <row r="1443" ht="12.75">
      <c r="A1443" s="1"/>
    </row>
    <row r="1444" ht="12.75">
      <c r="A1444" s="1" t="s">
        <v>285</v>
      </c>
    </row>
    <row r="1445" ht="12.75">
      <c r="A1445" s="1"/>
    </row>
    <row r="1446" ht="12.75">
      <c r="A1446" s="1" t="s">
        <v>396</v>
      </c>
    </row>
    <row r="1447" ht="12.75">
      <c r="A1447" s="1" t="s">
        <v>287</v>
      </c>
    </row>
    <row r="1448" ht="12.75">
      <c r="A1448" s="9"/>
    </row>
    <row r="1449" ht="12.75">
      <c r="A1449" s="9"/>
    </row>
    <row r="1450" spans="1:4" ht="36.75" customHeight="1">
      <c r="A1450" s="49" t="s">
        <v>288</v>
      </c>
      <c r="B1450" s="49"/>
      <c r="C1450" s="49"/>
      <c r="D1450" s="49"/>
    </row>
    <row r="1451" ht="12.75">
      <c r="A1451" s="10"/>
    </row>
    <row r="1452" ht="12.75">
      <c r="A1452" s="10"/>
    </row>
    <row r="1453" ht="12.75">
      <c r="A1453" s="10"/>
    </row>
    <row r="1454" ht="12.75">
      <c r="A1454" s="1" t="s">
        <v>286</v>
      </c>
    </row>
    <row r="1455" ht="12.75">
      <c r="A1455" s="1" t="s">
        <v>289</v>
      </c>
    </row>
    <row r="1456" ht="12.75">
      <c r="A1456" s="11"/>
    </row>
    <row r="1459" spans="1:12" ht="15.75">
      <c r="A1459" s="46" t="s">
        <v>262</v>
      </c>
      <c r="B1459" s="46"/>
      <c r="C1459" s="46"/>
      <c r="D1459" s="46"/>
      <c r="E1459" s="46"/>
      <c r="F1459" s="46"/>
      <c r="G1459" s="46"/>
      <c r="H1459" s="46"/>
      <c r="I1459" s="46"/>
      <c r="J1459" s="46"/>
      <c r="K1459" s="46"/>
      <c r="L1459" s="14"/>
    </row>
    <row r="1460" spans="1:12" ht="15.75">
      <c r="A1460" s="46" t="s">
        <v>291</v>
      </c>
      <c r="B1460" s="46"/>
      <c r="C1460" s="46"/>
      <c r="D1460" s="46"/>
      <c r="E1460" s="46"/>
      <c r="F1460" s="46"/>
      <c r="G1460" s="46"/>
      <c r="H1460" s="46"/>
      <c r="I1460" s="46"/>
      <c r="J1460" s="46"/>
      <c r="K1460" s="14"/>
      <c r="L1460" s="14"/>
    </row>
    <row r="1461" spans="1:12" ht="15.75">
      <c r="A1461" s="46" t="s">
        <v>329</v>
      </c>
      <c r="B1461" s="46"/>
      <c r="C1461" s="46"/>
      <c r="D1461" s="46"/>
      <c r="E1461" s="46"/>
      <c r="F1461" s="46"/>
      <c r="G1461" s="46"/>
      <c r="H1461" s="46"/>
      <c r="I1461" s="46"/>
      <c r="J1461" s="46"/>
      <c r="K1461" s="46"/>
      <c r="L1461" s="46"/>
    </row>
    <row r="1462" spans="1:12" ht="55.5" customHeight="1">
      <c r="A1462" s="47" t="s">
        <v>290</v>
      </c>
      <c r="B1462" s="47"/>
      <c r="C1462" s="47"/>
      <c r="D1462" s="47"/>
      <c r="E1462" s="47"/>
      <c r="F1462" s="47"/>
      <c r="G1462" s="47"/>
      <c r="H1462" s="47"/>
      <c r="I1462" s="47"/>
      <c r="J1462" s="47"/>
      <c r="K1462" s="16"/>
      <c r="L1462" s="16"/>
    </row>
    <row r="1463" spans="1:12" ht="12.75">
      <c r="A1463" s="12"/>
      <c r="B1463" s="12"/>
      <c r="C1463" s="12"/>
      <c r="D1463" s="12"/>
      <c r="E1463" s="12"/>
      <c r="F1463" s="12"/>
      <c r="G1463" s="12"/>
      <c r="H1463" s="12"/>
      <c r="I1463" s="12"/>
      <c r="J1463" s="12"/>
      <c r="K1463" s="13"/>
      <c r="L1463" s="13"/>
    </row>
    <row r="1464" spans="1:12" ht="12.75">
      <c r="A1464" s="18" t="s">
        <v>264</v>
      </c>
      <c r="B1464" s="48" t="s">
        <v>266</v>
      </c>
      <c r="C1464" s="48" t="s">
        <v>267</v>
      </c>
      <c r="D1464" s="18" t="s">
        <v>268</v>
      </c>
      <c r="K1464" s="13"/>
      <c r="L1464" s="13"/>
    </row>
    <row r="1465" spans="1:4" ht="12.75">
      <c r="A1465" s="18" t="s">
        <v>265</v>
      </c>
      <c r="B1465" s="48"/>
      <c r="C1465" s="48"/>
      <c r="D1465" s="18" t="s">
        <v>269</v>
      </c>
    </row>
    <row r="1466" spans="1:4" ht="38.25">
      <c r="A1466" s="19" t="s">
        <v>270</v>
      </c>
      <c r="B1466" s="19" t="s">
        <v>271</v>
      </c>
      <c r="C1466" s="19"/>
      <c r="D1466" s="18">
        <f>D1467+D1468+D1469+D1470+D1471+D1472</f>
        <v>0</v>
      </c>
    </row>
    <row r="1467" spans="1:4" ht="38.25">
      <c r="A1467" s="19" t="s">
        <v>19</v>
      </c>
      <c r="B1467" s="20" t="s">
        <v>272</v>
      </c>
      <c r="C1467" s="19"/>
      <c r="D1467" s="18"/>
    </row>
    <row r="1468" spans="1:4" ht="38.25">
      <c r="A1468" s="19" t="s">
        <v>20</v>
      </c>
      <c r="B1468" s="20" t="s">
        <v>273</v>
      </c>
      <c r="C1468" s="19"/>
      <c r="D1468" s="18"/>
    </row>
    <row r="1469" spans="1:4" ht="38.25">
      <c r="A1469" s="21" t="s">
        <v>293</v>
      </c>
      <c r="B1469" s="20" t="s">
        <v>274</v>
      </c>
      <c r="C1469" s="19"/>
      <c r="D1469" s="18"/>
    </row>
    <row r="1470" spans="1:4" ht="38.25">
      <c r="A1470" s="21" t="s">
        <v>292</v>
      </c>
      <c r="B1470" s="20" t="s">
        <v>275</v>
      </c>
      <c r="C1470" s="19"/>
      <c r="D1470" s="18"/>
    </row>
    <row r="1471" spans="1:4" ht="38.25">
      <c r="A1471" s="21" t="s">
        <v>294</v>
      </c>
      <c r="B1471" s="20" t="s">
        <v>276</v>
      </c>
      <c r="C1471" s="19"/>
      <c r="D1471" s="18"/>
    </row>
    <row r="1472" spans="1:4" ht="25.5">
      <c r="A1472" s="21" t="s">
        <v>295</v>
      </c>
      <c r="B1472" s="20" t="s">
        <v>277</v>
      </c>
      <c r="C1472" s="19"/>
      <c r="D1472" s="18"/>
    </row>
    <row r="1473" spans="1:4" ht="12.75">
      <c r="A1473" s="19" t="s">
        <v>278</v>
      </c>
      <c r="B1473" s="19" t="s">
        <v>279</v>
      </c>
      <c r="C1473" s="19"/>
      <c r="D1473" s="18"/>
    </row>
    <row r="1474" spans="1:4" ht="12.75">
      <c r="A1474" s="19" t="s">
        <v>280</v>
      </c>
      <c r="B1474" s="19"/>
      <c r="C1474" s="19"/>
      <c r="D1474" s="18"/>
    </row>
    <row r="1475" spans="1:4" ht="12.75">
      <c r="A1475" s="19" t="s">
        <v>281</v>
      </c>
      <c r="B1475" s="19"/>
      <c r="C1475" s="19"/>
      <c r="D1475" s="18"/>
    </row>
    <row r="1476" spans="1:4" ht="12.75">
      <c r="A1476" s="19" t="s">
        <v>282</v>
      </c>
      <c r="B1476" s="19"/>
      <c r="C1476" s="19"/>
      <c r="D1476" s="18"/>
    </row>
    <row r="1477" ht="12.75">
      <c r="A1477" s="1"/>
    </row>
    <row r="1478" ht="12.75">
      <c r="A1478" s="1" t="s">
        <v>283</v>
      </c>
    </row>
    <row r="1479" spans="1:3" ht="12.75">
      <c r="A1479" s="1" t="s">
        <v>284</v>
      </c>
      <c r="C1479" t="s">
        <v>291</v>
      </c>
    </row>
    <row r="1480" ht="12.75">
      <c r="A1480" s="1"/>
    </row>
    <row r="1481" ht="12.75">
      <c r="A1481" s="1" t="s">
        <v>285</v>
      </c>
    </row>
    <row r="1482" ht="12.75">
      <c r="A1482" s="1"/>
    </row>
    <row r="1483" ht="12.75">
      <c r="A1483" s="1" t="s">
        <v>396</v>
      </c>
    </row>
    <row r="1484" ht="12.75">
      <c r="A1484" s="1" t="s">
        <v>287</v>
      </c>
    </row>
    <row r="1485" ht="12.75">
      <c r="A1485" s="9"/>
    </row>
    <row r="1486" ht="12.75">
      <c r="A1486" s="9"/>
    </row>
    <row r="1487" spans="1:4" ht="37.5" customHeight="1">
      <c r="A1487" s="49" t="s">
        <v>288</v>
      </c>
      <c r="B1487" s="49"/>
      <c r="C1487" s="49"/>
      <c r="D1487" s="49"/>
    </row>
    <row r="1488" ht="12.75">
      <c r="A1488" s="10"/>
    </row>
    <row r="1489" ht="12.75">
      <c r="A1489" s="10"/>
    </row>
    <row r="1490" ht="12.75">
      <c r="A1490" s="10"/>
    </row>
    <row r="1491" ht="12.75">
      <c r="A1491" s="1" t="s">
        <v>286</v>
      </c>
    </row>
    <row r="1492" ht="12.75">
      <c r="A1492" s="1" t="s">
        <v>289</v>
      </c>
    </row>
    <row r="1493" ht="12.75">
      <c r="A1493" s="11"/>
    </row>
    <row r="1494" ht="16.5" customHeight="1">
      <c r="A1494" s="11"/>
    </row>
    <row r="1495" spans="1:12" ht="15.75">
      <c r="A1495" s="46" t="s">
        <v>262</v>
      </c>
      <c r="B1495" s="46"/>
      <c r="C1495" s="46"/>
      <c r="D1495" s="46"/>
      <c r="E1495" s="46"/>
      <c r="F1495" s="46"/>
      <c r="G1495" s="46"/>
      <c r="H1495" s="46"/>
      <c r="I1495" s="46"/>
      <c r="J1495" s="46"/>
      <c r="K1495" s="46"/>
      <c r="L1495" s="14"/>
    </row>
    <row r="1496" spans="1:12" ht="15.75">
      <c r="A1496" s="46" t="s">
        <v>291</v>
      </c>
      <c r="B1496" s="46"/>
      <c r="C1496" s="46"/>
      <c r="D1496" s="46"/>
      <c r="E1496" s="46"/>
      <c r="F1496" s="46"/>
      <c r="G1496" s="46"/>
      <c r="H1496" s="46"/>
      <c r="I1496" s="46"/>
      <c r="J1496" s="46"/>
      <c r="K1496" s="14"/>
      <c r="L1496" s="14"/>
    </row>
    <row r="1497" spans="1:12" ht="15.75">
      <c r="A1497" s="46" t="s">
        <v>366</v>
      </c>
      <c r="B1497" s="46"/>
      <c r="C1497" s="46"/>
      <c r="D1497" s="46"/>
      <c r="E1497" s="46"/>
      <c r="F1497" s="46"/>
      <c r="G1497" s="46"/>
      <c r="H1497" s="46"/>
      <c r="I1497" s="46"/>
      <c r="J1497" s="46"/>
      <c r="K1497" s="46"/>
      <c r="L1497" s="46"/>
    </row>
    <row r="1498" spans="1:12" ht="15.75">
      <c r="A1498" s="47" t="s">
        <v>290</v>
      </c>
      <c r="B1498" s="47"/>
      <c r="C1498" s="47"/>
      <c r="D1498" s="47"/>
      <c r="E1498" s="47"/>
      <c r="F1498" s="47"/>
      <c r="G1498" s="47"/>
      <c r="H1498" s="47"/>
      <c r="I1498" s="47"/>
      <c r="J1498" s="47"/>
      <c r="K1498" s="16"/>
      <c r="L1498" s="16"/>
    </row>
    <row r="1499" spans="1:12" ht="12.75">
      <c r="A1499" s="12"/>
      <c r="B1499" s="12"/>
      <c r="C1499" s="12"/>
      <c r="D1499" s="12"/>
      <c r="E1499" s="12"/>
      <c r="F1499" s="12"/>
      <c r="G1499" s="12"/>
      <c r="H1499" s="12"/>
      <c r="I1499" s="12"/>
      <c r="J1499" s="12"/>
      <c r="K1499" s="13"/>
      <c r="L1499" s="13"/>
    </row>
    <row r="1500" spans="1:12" ht="12.75">
      <c r="A1500" s="18" t="s">
        <v>264</v>
      </c>
      <c r="B1500" s="48" t="s">
        <v>266</v>
      </c>
      <c r="C1500" s="48" t="s">
        <v>267</v>
      </c>
      <c r="D1500" s="18" t="s">
        <v>268</v>
      </c>
      <c r="K1500" s="13"/>
      <c r="L1500" s="13"/>
    </row>
    <row r="1501" spans="1:4" ht="12.75">
      <c r="A1501" s="18" t="s">
        <v>265</v>
      </c>
      <c r="B1501" s="48"/>
      <c r="C1501" s="48"/>
      <c r="D1501" s="18" t="s">
        <v>269</v>
      </c>
    </row>
    <row r="1502" spans="1:4" ht="38.25">
      <c r="A1502" s="19" t="s">
        <v>270</v>
      </c>
      <c r="B1502" s="19" t="s">
        <v>271</v>
      </c>
      <c r="C1502" s="19"/>
      <c r="D1502" s="18">
        <f>D1503+D1504+D1505+D1506+D1507+D1508</f>
        <v>0</v>
      </c>
    </row>
    <row r="1503" spans="1:4" ht="38.25">
      <c r="A1503" s="19" t="s">
        <v>19</v>
      </c>
      <c r="B1503" s="20" t="s">
        <v>272</v>
      </c>
      <c r="C1503" s="19"/>
      <c r="D1503" s="18"/>
    </row>
    <row r="1504" spans="1:4" ht="38.25">
      <c r="A1504" s="19" t="s">
        <v>20</v>
      </c>
      <c r="B1504" s="20" t="s">
        <v>273</v>
      </c>
      <c r="C1504" s="19"/>
      <c r="D1504" s="18"/>
    </row>
    <row r="1505" spans="1:4" ht="38.25">
      <c r="A1505" s="21" t="s">
        <v>293</v>
      </c>
      <c r="B1505" s="20" t="s">
        <v>274</v>
      </c>
      <c r="C1505" s="19"/>
      <c r="D1505" s="18"/>
    </row>
    <row r="1506" spans="1:4" ht="38.25">
      <c r="A1506" s="21" t="s">
        <v>292</v>
      </c>
      <c r="B1506" s="20" t="s">
        <v>275</v>
      </c>
      <c r="C1506" s="19"/>
      <c r="D1506" s="18"/>
    </row>
    <row r="1507" spans="1:4" ht="38.25">
      <c r="A1507" s="21" t="s">
        <v>294</v>
      </c>
      <c r="B1507" s="20" t="s">
        <v>276</v>
      </c>
      <c r="C1507" s="19"/>
      <c r="D1507" s="18"/>
    </row>
    <row r="1508" spans="1:4" ht="25.5">
      <c r="A1508" s="21" t="s">
        <v>295</v>
      </c>
      <c r="B1508" s="20" t="s">
        <v>277</v>
      </c>
      <c r="C1508" s="19"/>
      <c r="D1508" s="18"/>
    </row>
    <row r="1509" spans="1:4" ht="12.75">
      <c r="A1509" s="19" t="s">
        <v>278</v>
      </c>
      <c r="B1509" s="19" t="s">
        <v>279</v>
      </c>
      <c r="C1509" s="19"/>
      <c r="D1509" s="18"/>
    </row>
    <row r="1510" spans="1:4" ht="38.25">
      <c r="A1510" s="19" t="s">
        <v>280</v>
      </c>
      <c r="B1510" s="19" t="s">
        <v>362</v>
      </c>
      <c r="C1510" s="19"/>
      <c r="D1510" s="18"/>
    </row>
    <row r="1511" spans="1:4" ht="12.75">
      <c r="A1511" s="19" t="s">
        <v>281</v>
      </c>
      <c r="B1511" s="19"/>
      <c r="C1511" s="19"/>
      <c r="D1511" s="18"/>
    </row>
    <row r="1512" spans="1:4" ht="12.75">
      <c r="A1512" s="19" t="s">
        <v>282</v>
      </c>
      <c r="B1512" s="19"/>
      <c r="C1512" s="19"/>
      <c r="D1512" s="18"/>
    </row>
    <row r="1513" ht="12.75">
      <c r="A1513" s="1"/>
    </row>
    <row r="1514" ht="12.75">
      <c r="A1514" s="1" t="s">
        <v>283</v>
      </c>
    </row>
    <row r="1515" spans="1:3" ht="12.75">
      <c r="A1515" s="1" t="s">
        <v>284</v>
      </c>
      <c r="C1515" t="s">
        <v>291</v>
      </c>
    </row>
    <row r="1516" ht="12.75">
      <c r="A1516" s="1"/>
    </row>
    <row r="1517" ht="12.75">
      <c r="A1517" s="1" t="s">
        <v>285</v>
      </c>
    </row>
    <row r="1518" ht="12.75">
      <c r="A1518" s="1"/>
    </row>
    <row r="1519" ht="12.75">
      <c r="A1519" s="1" t="s">
        <v>396</v>
      </c>
    </row>
    <row r="1520" ht="12.75">
      <c r="A1520" s="1" t="s">
        <v>287</v>
      </c>
    </row>
    <row r="1521" ht="12.75">
      <c r="A1521" s="9"/>
    </row>
    <row r="1522" ht="12.75">
      <c r="A1522" s="9"/>
    </row>
    <row r="1523" spans="1:4" ht="12.75" customHeight="1">
      <c r="A1523" s="49" t="s">
        <v>288</v>
      </c>
      <c r="B1523" s="49"/>
      <c r="C1523" s="49"/>
      <c r="D1523" s="49"/>
    </row>
    <row r="1524" ht="12.75">
      <c r="A1524" s="10"/>
    </row>
    <row r="1525" ht="12.75">
      <c r="A1525" s="10"/>
    </row>
    <row r="1526" ht="12.75">
      <c r="A1526" s="10"/>
    </row>
    <row r="1527" ht="12.75">
      <c r="A1527" s="1" t="s">
        <v>286</v>
      </c>
    </row>
    <row r="1528" ht="12.75">
      <c r="A1528" s="1" t="s">
        <v>289</v>
      </c>
    </row>
    <row r="1529" ht="12.75">
      <c r="A1529" s="11"/>
    </row>
    <row r="1530" ht="12.75">
      <c r="A1530" s="11"/>
    </row>
    <row r="1531" ht="12.75">
      <c r="A1531" s="11"/>
    </row>
    <row r="1532" ht="12.75">
      <c r="A1532" s="11"/>
    </row>
    <row r="1533" ht="12.75">
      <c r="A1533" s="11"/>
    </row>
    <row r="1534" ht="12.75" hidden="1">
      <c r="A1534" s="11"/>
    </row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50" spans="1:12" ht="15.75">
      <c r="A1550" s="46" t="s">
        <v>262</v>
      </c>
      <c r="B1550" s="46"/>
      <c r="C1550" s="46"/>
      <c r="D1550" s="46"/>
      <c r="E1550" s="46"/>
      <c r="F1550" s="46"/>
      <c r="G1550" s="46"/>
      <c r="H1550" s="46"/>
      <c r="I1550" s="46"/>
      <c r="J1550" s="46"/>
      <c r="K1550" s="46"/>
      <c r="L1550" s="14"/>
    </row>
    <row r="1551" spans="1:12" ht="15.75">
      <c r="A1551" s="46" t="s">
        <v>291</v>
      </c>
      <c r="B1551" s="46"/>
      <c r="C1551" s="46"/>
      <c r="D1551" s="46"/>
      <c r="E1551" s="46"/>
      <c r="F1551" s="46"/>
      <c r="G1551" s="46"/>
      <c r="H1551" s="46"/>
      <c r="I1551" s="46"/>
      <c r="J1551" s="46"/>
      <c r="K1551" s="14"/>
      <c r="L1551" s="14"/>
    </row>
    <row r="1552" spans="1:12" ht="15.75">
      <c r="A1552" s="46" t="s">
        <v>330</v>
      </c>
      <c r="B1552" s="46"/>
      <c r="C1552" s="46"/>
      <c r="D1552" s="46"/>
      <c r="E1552" s="46"/>
      <c r="F1552" s="46"/>
      <c r="G1552" s="46"/>
      <c r="H1552" s="46"/>
      <c r="I1552" s="46"/>
      <c r="J1552" s="46"/>
      <c r="K1552" s="46"/>
      <c r="L1552" s="46"/>
    </row>
    <row r="1553" spans="1:12" ht="53.25" customHeight="1">
      <c r="A1553" s="47" t="s">
        <v>290</v>
      </c>
      <c r="B1553" s="47"/>
      <c r="C1553" s="47"/>
      <c r="D1553" s="47"/>
      <c r="E1553" s="47"/>
      <c r="F1553" s="47"/>
      <c r="G1553" s="47"/>
      <c r="H1553" s="47"/>
      <c r="I1553" s="47"/>
      <c r="J1553" s="47"/>
      <c r="K1553" s="16"/>
      <c r="L1553" s="16"/>
    </row>
    <row r="1554" spans="1:12" ht="12.75">
      <c r="A1554" s="12"/>
      <c r="B1554" s="12"/>
      <c r="C1554" s="12"/>
      <c r="D1554" s="12"/>
      <c r="E1554" s="12"/>
      <c r="F1554" s="12"/>
      <c r="G1554" s="12"/>
      <c r="H1554" s="12"/>
      <c r="I1554" s="12"/>
      <c r="J1554" s="12"/>
      <c r="K1554" s="13"/>
      <c r="L1554" s="13"/>
    </row>
    <row r="1555" spans="1:12" ht="12.75">
      <c r="A1555" s="18" t="s">
        <v>264</v>
      </c>
      <c r="B1555" s="48" t="s">
        <v>266</v>
      </c>
      <c r="C1555" s="48" t="s">
        <v>267</v>
      </c>
      <c r="D1555" s="18" t="s">
        <v>268</v>
      </c>
      <c r="K1555" s="13"/>
      <c r="L1555" s="13"/>
    </row>
    <row r="1556" spans="1:4" ht="12.75">
      <c r="A1556" s="18" t="s">
        <v>265</v>
      </c>
      <c r="B1556" s="48"/>
      <c r="C1556" s="48"/>
      <c r="D1556" s="18" t="s">
        <v>269</v>
      </c>
    </row>
    <row r="1557" spans="1:4" ht="38.25">
      <c r="A1557" s="19" t="s">
        <v>270</v>
      </c>
      <c r="B1557" s="19" t="s">
        <v>271</v>
      </c>
      <c r="C1557" s="19"/>
      <c r="D1557" s="18">
        <f>D1558+D1559+D1560+D1561+D1562+D1563</f>
        <v>36378.05</v>
      </c>
    </row>
    <row r="1558" spans="1:4" ht="38.25">
      <c r="A1558" s="19" t="s">
        <v>19</v>
      </c>
      <c r="B1558" s="20" t="s">
        <v>272</v>
      </c>
      <c r="C1558" s="19"/>
      <c r="D1558" s="18"/>
    </row>
    <row r="1559" spans="1:4" ht="38.25">
      <c r="A1559" s="19" t="s">
        <v>20</v>
      </c>
      <c r="B1559" s="20" t="s">
        <v>273</v>
      </c>
      <c r="C1559" s="19"/>
      <c r="D1559" s="18">
        <f>7311.11+19815.05</f>
        <v>27126.16</v>
      </c>
    </row>
    <row r="1560" spans="1:4" ht="38.25">
      <c r="A1560" s="21" t="s">
        <v>293</v>
      </c>
      <c r="B1560" s="20" t="s">
        <v>274</v>
      </c>
      <c r="C1560" s="19"/>
      <c r="D1560" s="18">
        <f>932.63</f>
        <v>932.63</v>
      </c>
    </row>
    <row r="1561" spans="1:4" ht="38.25">
      <c r="A1561" s="21" t="s">
        <v>292</v>
      </c>
      <c r="B1561" s="20" t="s">
        <v>275</v>
      </c>
      <c r="C1561" s="19"/>
      <c r="D1561" s="18">
        <f>934+4087</f>
        <v>5021</v>
      </c>
    </row>
    <row r="1562" spans="1:4" ht="38.25">
      <c r="A1562" s="21" t="s">
        <v>294</v>
      </c>
      <c r="B1562" s="20" t="s">
        <v>276</v>
      </c>
      <c r="C1562" s="19"/>
      <c r="D1562" s="18">
        <f>2483.43+814.83</f>
        <v>3298.2599999999998</v>
      </c>
    </row>
    <row r="1563" spans="1:4" ht="25.5">
      <c r="A1563" s="21" t="s">
        <v>295</v>
      </c>
      <c r="B1563" s="20" t="s">
        <v>277</v>
      </c>
      <c r="C1563" s="19"/>
      <c r="D1563" s="18"/>
    </row>
    <row r="1564" spans="1:4" ht="12.75">
      <c r="A1564" s="19" t="s">
        <v>278</v>
      </c>
      <c r="B1564" s="19" t="s">
        <v>279</v>
      </c>
      <c r="C1564" s="19"/>
      <c r="D1564" s="18">
        <f>D1565</f>
        <v>0</v>
      </c>
    </row>
    <row r="1565" spans="1:4" ht="12.75">
      <c r="A1565" s="19" t="s">
        <v>280</v>
      </c>
      <c r="B1565" s="19"/>
      <c r="C1565" s="19"/>
      <c r="D1565" s="18"/>
    </row>
    <row r="1566" spans="1:4" ht="12.75">
      <c r="A1566" s="19" t="s">
        <v>281</v>
      </c>
      <c r="B1566" s="19"/>
      <c r="C1566" s="19"/>
      <c r="D1566" s="18"/>
    </row>
    <row r="1567" spans="1:4" ht="12.75">
      <c r="A1567" s="19" t="s">
        <v>282</v>
      </c>
      <c r="B1567" s="19"/>
      <c r="C1567" s="19"/>
      <c r="D1567" s="18"/>
    </row>
    <row r="1568" ht="12.75">
      <c r="A1568" s="1"/>
    </row>
    <row r="1569" ht="12.75">
      <c r="A1569" s="1" t="s">
        <v>283</v>
      </c>
    </row>
    <row r="1570" spans="1:3" ht="12.75">
      <c r="A1570" s="1" t="s">
        <v>284</v>
      </c>
      <c r="C1570" t="s">
        <v>291</v>
      </c>
    </row>
    <row r="1571" ht="12.75">
      <c r="A1571" s="1"/>
    </row>
    <row r="1572" ht="12.75">
      <c r="A1572" s="1" t="s">
        <v>285</v>
      </c>
    </row>
    <row r="1573" ht="12.75">
      <c r="A1573" s="1"/>
    </row>
    <row r="1574" ht="12.75">
      <c r="A1574" s="1" t="s">
        <v>396</v>
      </c>
    </row>
    <row r="1575" ht="12.75">
      <c r="A1575" s="1" t="s">
        <v>287</v>
      </c>
    </row>
    <row r="1576" ht="12.75">
      <c r="A1576" s="9"/>
    </row>
    <row r="1577" ht="12.75">
      <c r="A1577" s="9"/>
    </row>
    <row r="1578" spans="1:4" ht="37.5" customHeight="1">
      <c r="A1578" s="49" t="s">
        <v>288</v>
      </c>
      <c r="B1578" s="49"/>
      <c r="C1578" s="49"/>
      <c r="D1578" s="49"/>
    </row>
    <row r="1579" ht="12.75">
      <c r="A1579" s="10"/>
    </row>
    <row r="1580" ht="12.75" hidden="1">
      <c r="A1580" s="10"/>
    </row>
    <row r="1581" ht="12.75">
      <c r="A1581" s="10"/>
    </row>
    <row r="1582" ht="12.75">
      <c r="A1582" s="1" t="s">
        <v>286</v>
      </c>
    </row>
    <row r="1583" ht="12.75">
      <c r="A1583" s="1" t="s">
        <v>289</v>
      </c>
    </row>
    <row r="1584" ht="43.5" customHeight="1">
      <c r="A1584" s="11"/>
    </row>
    <row r="1585" ht="7.5" customHeight="1" hidden="1"/>
    <row r="1586" ht="12.75" hidden="1"/>
    <row r="1587" spans="1:12" ht="15.75">
      <c r="A1587" s="46" t="s">
        <v>262</v>
      </c>
      <c r="B1587" s="46"/>
      <c r="C1587" s="46"/>
      <c r="D1587" s="46"/>
      <c r="E1587" s="46"/>
      <c r="F1587" s="46"/>
      <c r="G1587" s="46"/>
      <c r="H1587" s="46"/>
      <c r="I1587" s="46"/>
      <c r="J1587" s="46"/>
      <c r="K1587" s="46"/>
      <c r="L1587" s="14"/>
    </row>
    <row r="1588" spans="1:12" ht="15.75">
      <c r="A1588" s="46" t="s">
        <v>291</v>
      </c>
      <c r="B1588" s="46"/>
      <c r="C1588" s="46"/>
      <c r="D1588" s="46"/>
      <c r="E1588" s="46"/>
      <c r="F1588" s="46"/>
      <c r="G1588" s="46"/>
      <c r="H1588" s="46"/>
      <c r="I1588" s="46"/>
      <c r="J1588" s="46"/>
      <c r="K1588" s="14"/>
      <c r="L1588" s="14"/>
    </row>
    <row r="1589" spans="1:12" ht="15.75">
      <c r="A1589" s="46" t="s">
        <v>331</v>
      </c>
      <c r="B1589" s="46"/>
      <c r="C1589" s="46"/>
      <c r="D1589" s="46"/>
      <c r="E1589" s="46"/>
      <c r="F1589" s="46"/>
      <c r="G1589" s="46"/>
      <c r="H1589" s="46"/>
      <c r="I1589" s="46"/>
      <c r="J1589" s="46"/>
      <c r="K1589" s="46"/>
      <c r="L1589" s="46"/>
    </row>
    <row r="1590" spans="1:12" ht="53.25" customHeight="1">
      <c r="A1590" s="47" t="s">
        <v>290</v>
      </c>
      <c r="B1590" s="47"/>
      <c r="C1590" s="47"/>
      <c r="D1590" s="47"/>
      <c r="E1590" s="47"/>
      <c r="F1590" s="47"/>
      <c r="G1590" s="47"/>
      <c r="H1590" s="47"/>
      <c r="I1590" s="47"/>
      <c r="J1590" s="47"/>
      <c r="K1590" s="16"/>
      <c r="L1590" s="16"/>
    </row>
    <row r="1591" spans="1:12" ht="12.75">
      <c r="A1591" s="12"/>
      <c r="B1591" s="12"/>
      <c r="C1591" s="12"/>
      <c r="D1591" s="12"/>
      <c r="E1591" s="12"/>
      <c r="F1591" s="12"/>
      <c r="G1591" s="12"/>
      <c r="H1591" s="12"/>
      <c r="I1591" s="12"/>
      <c r="J1591" s="12"/>
      <c r="K1591" s="13"/>
      <c r="L1591" s="13"/>
    </row>
    <row r="1592" spans="1:12" ht="12.75">
      <c r="A1592" s="18" t="s">
        <v>264</v>
      </c>
      <c r="B1592" s="48" t="s">
        <v>266</v>
      </c>
      <c r="C1592" s="48" t="s">
        <v>267</v>
      </c>
      <c r="D1592" s="18" t="s">
        <v>268</v>
      </c>
      <c r="K1592" s="13"/>
      <c r="L1592" s="13"/>
    </row>
    <row r="1593" spans="1:4" ht="12.75">
      <c r="A1593" s="18" t="s">
        <v>265</v>
      </c>
      <c r="B1593" s="48"/>
      <c r="C1593" s="48"/>
      <c r="D1593" s="18" t="s">
        <v>269</v>
      </c>
    </row>
    <row r="1594" spans="1:4" ht="38.25">
      <c r="A1594" s="19" t="s">
        <v>270</v>
      </c>
      <c r="B1594" s="19" t="s">
        <v>271</v>
      </c>
      <c r="C1594" s="19"/>
      <c r="D1594" s="18">
        <f>D1595+D1596+D1597+D1598+D1599+D1600</f>
        <v>5407.889999999999</v>
      </c>
    </row>
    <row r="1595" spans="1:4" ht="38.25">
      <c r="A1595" s="19" t="s">
        <v>19</v>
      </c>
      <c r="B1595" s="20" t="s">
        <v>272</v>
      </c>
      <c r="C1595" s="19"/>
      <c r="D1595" s="18"/>
    </row>
    <row r="1596" spans="1:4" ht="38.25">
      <c r="A1596" s="19" t="s">
        <v>20</v>
      </c>
      <c r="B1596" s="20" t="s">
        <v>273</v>
      </c>
      <c r="C1596" s="19"/>
      <c r="D1596" s="18"/>
    </row>
    <row r="1597" spans="1:4" ht="38.25">
      <c r="A1597" s="21" t="s">
        <v>293</v>
      </c>
      <c r="B1597" s="20" t="s">
        <v>274</v>
      </c>
      <c r="C1597" s="19"/>
      <c r="D1597" s="18"/>
    </row>
    <row r="1598" spans="1:4" ht="38.25">
      <c r="A1598" s="21" t="s">
        <v>292</v>
      </c>
      <c r="B1598" s="20" t="s">
        <v>275</v>
      </c>
      <c r="C1598" s="19"/>
      <c r="D1598" s="18">
        <v>4903.9</v>
      </c>
    </row>
    <row r="1599" spans="1:4" ht="38.25">
      <c r="A1599" s="21" t="s">
        <v>294</v>
      </c>
      <c r="B1599" s="20" t="s">
        <v>276</v>
      </c>
      <c r="C1599" s="19"/>
      <c r="D1599" s="18"/>
    </row>
    <row r="1600" spans="1:4" ht="25.5">
      <c r="A1600" s="21" t="s">
        <v>295</v>
      </c>
      <c r="B1600" s="20" t="s">
        <v>277</v>
      </c>
      <c r="C1600" s="19"/>
      <c r="D1600" s="18">
        <v>503.99</v>
      </c>
    </row>
    <row r="1601" spans="1:4" ht="12.75">
      <c r="A1601" s="19" t="s">
        <v>278</v>
      </c>
      <c r="B1601" s="19" t="s">
        <v>279</v>
      </c>
      <c r="C1601" s="19"/>
      <c r="D1601" s="25">
        <f>D1602+D1603</f>
        <v>0</v>
      </c>
    </row>
    <row r="1602" spans="1:4" ht="25.5">
      <c r="A1602" s="19" t="s">
        <v>280</v>
      </c>
      <c r="B1602" s="19" t="s">
        <v>400</v>
      </c>
      <c r="C1602" s="19"/>
      <c r="D1602" s="25"/>
    </row>
    <row r="1603" spans="1:4" ht="25.5">
      <c r="A1603" s="19" t="s">
        <v>281</v>
      </c>
      <c r="B1603" s="19" t="s">
        <v>406</v>
      </c>
      <c r="C1603" s="19"/>
      <c r="D1603" s="28"/>
    </row>
    <row r="1604" spans="1:4" ht="12.75">
      <c r="A1604" s="19" t="s">
        <v>282</v>
      </c>
      <c r="B1604" s="19"/>
      <c r="C1604" s="19"/>
      <c r="D1604" s="18"/>
    </row>
    <row r="1605" ht="12.75">
      <c r="A1605" s="1"/>
    </row>
    <row r="1606" ht="12.75">
      <c r="A1606" s="1" t="s">
        <v>283</v>
      </c>
    </row>
    <row r="1607" spans="1:3" ht="12.75">
      <c r="A1607" s="1" t="s">
        <v>284</v>
      </c>
      <c r="C1607" t="s">
        <v>291</v>
      </c>
    </row>
    <row r="1608" ht="12.75">
      <c r="A1608" s="1"/>
    </row>
    <row r="1609" ht="12.75">
      <c r="A1609" s="1" t="s">
        <v>285</v>
      </c>
    </row>
    <row r="1610" ht="12.75">
      <c r="A1610" s="1"/>
    </row>
    <row r="1611" ht="12.75">
      <c r="A1611" s="1" t="s">
        <v>396</v>
      </c>
    </row>
    <row r="1612" ht="12.75">
      <c r="A1612" s="1" t="s">
        <v>287</v>
      </c>
    </row>
    <row r="1613" ht="12.75">
      <c r="A1613" s="9"/>
    </row>
    <row r="1614" ht="12.75">
      <c r="A1614" s="9"/>
    </row>
    <row r="1615" spans="1:4" ht="36.75" customHeight="1">
      <c r="A1615" s="49" t="s">
        <v>288</v>
      </c>
      <c r="B1615" s="49"/>
      <c r="C1615" s="49"/>
      <c r="D1615" s="49"/>
    </row>
    <row r="1616" ht="12.75">
      <c r="A1616" s="10"/>
    </row>
    <row r="1617" ht="12.75">
      <c r="A1617" s="10"/>
    </row>
    <row r="1618" ht="12.75">
      <c r="A1618" s="10"/>
    </row>
    <row r="1619" ht="12.75">
      <c r="A1619" s="1" t="s">
        <v>286</v>
      </c>
    </row>
    <row r="1620" ht="12.75">
      <c r="A1620" s="1" t="s">
        <v>289</v>
      </c>
    </row>
    <row r="1621" ht="5.25" customHeight="1">
      <c r="A1621" s="11"/>
    </row>
    <row r="1622" ht="5.25" customHeight="1"/>
    <row r="1623" ht="0.75" customHeight="1"/>
    <row r="1624" spans="1:12" ht="15.75">
      <c r="A1624" s="46" t="s">
        <v>262</v>
      </c>
      <c r="B1624" s="46"/>
      <c r="C1624" s="46"/>
      <c r="D1624" s="46"/>
      <c r="E1624" s="46"/>
      <c r="F1624" s="46"/>
      <c r="G1624" s="46"/>
      <c r="H1624" s="46"/>
      <c r="I1624" s="46"/>
      <c r="J1624" s="46"/>
      <c r="K1624" s="46"/>
      <c r="L1624" s="14"/>
    </row>
    <row r="1625" spans="1:12" ht="15.75">
      <c r="A1625" s="46" t="s">
        <v>291</v>
      </c>
      <c r="B1625" s="46"/>
      <c r="C1625" s="46"/>
      <c r="D1625" s="46"/>
      <c r="E1625" s="46"/>
      <c r="F1625" s="46"/>
      <c r="G1625" s="46"/>
      <c r="H1625" s="46"/>
      <c r="I1625" s="46"/>
      <c r="J1625" s="46"/>
      <c r="K1625" s="14"/>
      <c r="L1625" s="14"/>
    </row>
    <row r="1626" spans="1:12" ht="15.75">
      <c r="A1626" s="46" t="s">
        <v>332</v>
      </c>
      <c r="B1626" s="46"/>
      <c r="C1626" s="46"/>
      <c r="D1626" s="46"/>
      <c r="E1626" s="46"/>
      <c r="F1626" s="46"/>
      <c r="G1626" s="46"/>
      <c r="H1626" s="46"/>
      <c r="I1626" s="46"/>
      <c r="J1626" s="46"/>
      <c r="K1626" s="46"/>
      <c r="L1626" s="46"/>
    </row>
    <row r="1627" spans="1:12" ht="53.25" customHeight="1">
      <c r="A1627" s="47" t="s">
        <v>290</v>
      </c>
      <c r="B1627" s="47"/>
      <c r="C1627" s="47"/>
      <c r="D1627" s="47"/>
      <c r="E1627" s="47"/>
      <c r="F1627" s="47"/>
      <c r="G1627" s="47"/>
      <c r="H1627" s="47"/>
      <c r="I1627" s="47"/>
      <c r="J1627" s="47"/>
      <c r="K1627" s="16"/>
      <c r="L1627" s="16"/>
    </row>
    <row r="1628" spans="1:12" ht="12.75">
      <c r="A1628" s="12"/>
      <c r="B1628" s="12"/>
      <c r="C1628" s="12"/>
      <c r="D1628" s="12"/>
      <c r="E1628" s="12"/>
      <c r="F1628" s="12"/>
      <c r="G1628" s="12"/>
      <c r="H1628" s="12"/>
      <c r="I1628" s="12"/>
      <c r="J1628" s="12"/>
      <c r="K1628" s="13"/>
      <c r="L1628" s="13"/>
    </row>
    <row r="1629" spans="1:12" ht="12.75">
      <c r="A1629" s="18" t="s">
        <v>264</v>
      </c>
      <c r="B1629" s="48" t="s">
        <v>266</v>
      </c>
      <c r="C1629" s="48" t="s">
        <v>267</v>
      </c>
      <c r="D1629" s="18" t="s">
        <v>268</v>
      </c>
      <c r="K1629" s="13"/>
      <c r="L1629" s="13"/>
    </row>
    <row r="1630" spans="1:4" ht="12.75">
      <c r="A1630" s="18" t="s">
        <v>265</v>
      </c>
      <c r="B1630" s="48"/>
      <c r="C1630" s="48"/>
      <c r="D1630" s="18" t="s">
        <v>269</v>
      </c>
    </row>
    <row r="1631" spans="1:4" ht="38.25">
      <c r="A1631" s="19" t="s">
        <v>270</v>
      </c>
      <c r="B1631" s="19" t="s">
        <v>271</v>
      </c>
      <c r="C1631" s="19"/>
      <c r="D1631" s="18">
        <f>D1632+D1633+D1634+D1635+D1636+D1637+D1638</f>
        <v>20048.03</v>
      </c>
    </row>
    <row r="1632" spans="1:4" ht="38.25">
      <c r="A1632" s="19" t="s">
        <v>19</v>
      </c>
      <c r="B1632" s="20" t="s">
        <v>272</v>
      </c>
      <c r="C1632" s="19"/>
      <c r="D1632" s="18">
        <v>6075.33</v>
      </c>
    </row>
    <row r="1633" spans="1:4" ht="38.25">
      <c r="A1633" s="19" t="s">
        <v>20</v>
      </c>
      <c r="B1633" s="20" t="s">
        <v>273</v>
      </c>
      <c r="C1633" s="19"/>
      <c r="D1633" s="18"/>
    </row>
    <row r="1634" spans="1:4" ht="38.25">
      <c r="A1634" s="21" t="s">
        <v>293</v>
      </c>
      <c r="B1634" s="20" t="s">
        <v>274</v>
      </c>
      <c r="C1634" s="19"/>
      <c r="D1634" s="18"/>
    </row>
    <row r="1635" spans="1:4" ht="38.25">
      <c r="A1635" s="21" t="s">
        <v>292</v>
      </c>
      <c r="B1635" s="20" t="s">
        <v>275</v>
      </c>
      <c r="C1635" s="19"/>
      <c r="D1635" s="18"/>
    </row>
    <row r="1636" spans="1:4" ht="38.25">
      <c r="A1636" s="21" t="s">
        <v>294</v>
      </c>
      <c r="B1636" s="20" t="s">
        <v>276</v>
      </c>
      <c r="C1636" s="19"/>
      <c r="D1636" s="18">
        <v>1658</v>
      </c>
    </row>
    <row r="1637" spans="1:4" ht="25.5">
      <c r="A1637" s="21" t="s">
        <v>295</v>
      </c>
      <c r="B1637" s="20" t="s">
        <v>277</v>
      </c>
      <c r="C1637" s="19"/>
      <c r="D1637" s="18">
        <f>2110.19+1801.83+8402.68</f>
        <v>12314.7</v>
      </c>
    </row>
    <row r="1638" spans="1:4" ht="12.75">
      <c r="A1638" s="21"/>
      <c r="B1638" s="19"/>
      <c r="C1638" s="19"/>
      <c r="D1638" s="18"/>
    </row>
    <row r="1639" spans="1:4" ht="12.75">
      <c r="A1639" s="19" t="s">
        <v>278</v>
      </c>
      <c r="B1639" s="19" t="s">
        <v>279</v>
      </c>
      <c r="C1639" s="19"/>
      <c r="D1639" s="18">
        <f>D1640</f>
        <v>0</v>
      </c>
    </row>
    <row r="1640" spans="1:4" ht="12.75">
      <c r="A1640" s="19" t="s">
        <v>414</v>
      </c>
      <c r="B1640" s="19"/>
      <c r="C1640" s="19"/>
      <c r="D1640" s="18"/>
    </row>
    <row r="1641" spans="1:4" ht="12.75">
      <c r="A1641" s="19" t="s">
        <v>281</v>
      </c>
      <c r="B1641" s="19"/>
      <c r="C1641" s="19"/>
      <c r="D1641" s="18"/>
    </row>
    <row r="1642" spans="1:4" ht="12.75">
      <c r="A1642" s="19" t="s">
        <v>282</v>
      </c>
      <c r="B1642" s="19"/>
      <c r="C1642" s="19"/>
      <c r="D1642" s="18"/>
    </row>
    <row r="1643" ht="12.75">
      <c r="A1643" s="1"/>
    </row>
    <row r="1644" ht="12.75">
      <c r="A1644" s="1" t="s">
        <v>283</v>
      </c>
    </row>
    <row r="1645" spans="1:3" ht="12.75">
      <c r="A1645" s="1" t="s">
        <v>284</v>
      </c>
      <c r="C1645" t="s">
        <v>291</v>
      </c>
    </row>
    <row r="1646" ht="12.75">
      <c r="A1646" s="1"/>
    </row>
    <row r="1647" ht="12.75">
      <c r="A1647" s="1" t="s">
        <v>285</v>
      </c>
    </row>
    <row r="1648" ht="12.75">
      <c r="A1648" s="1"/>
    </row>
    <row r="1649" ht="12.75">
      <c r="A1649" s="1" t="s">
        <v>396</v>
      </c>
    </row>
    <row r="1650" ht="12.75">
      <c r="A1650" s="1" t="s">
        <v>287</v>
      </c>
    </row>
    <row r="1651" ht="12.75">
      <c r="A1651" s="9"/>
    </row>
    <row r="1652" ht="12.75">
      <c r="A1652" s="9"/>
    </row>
    <row r="1653" spans="1:4" ht="39" customHeight="1">
      <c r="A1653" s="49" t="s">
        <v>288</v>
      </c>
      <c r="B1653" s="49"/>
      <c r="C1653" s="49"/>
      <c r="D1653" s="49"/>
    </row>
    <row r="1654" ht="8.25" customHeight="1">
      <c r="A1654" s="10"/>
    </row>
    <row r="1655" ht="12.75" hidden="1">
      <c r="A1655" s="10"/>
    </row>
    <row r="1656" ht="12.75">
      <c r="A1656" s="10"/>
    </row>
    <row r="1657" ht="12.75">
      <c r="A1657" s="1" t="s">
        <v>286</v>
      </c>
    </row>
    <row r="1658" ht="12.75">
      <c r="A1658" s="1" t="s">
        <v>289</v>
      </c>
    </row>
    <row r="1659" ht="40.5" customHeight="1">
      <c r="A1659" s="11"/>
    </row>
    <row r="1660" ht="12.75" hidden="1"/>
    <row r="1661" ht="12.75" hidden="1"/>
    <row r="1662" spans="1:12" ht="15.75">
      <c r="A1662" s="46" t="s">
        <v>262</v>
      </c>
      <c r="B1662" s="46"/>
      <c r="C1662" s="46"/>
      <c r="D1662" s="46"/>
      <c r="E1662" s="46"/>
      <c r="F1662" s="46"/>
      <c r="G1662" s="46"/>
      <c r="H1662" s="46"/>
      <c r="I1662" s="46"/>
      <c r="J1662" s="46"/>
      <c r="K1662" s="46"/>
      <c r="L1662" s="14"/>
    </row>
    <row r="1663" spans="1:12" ht="15.75">
      <c r="A1663" s="46" t="s">
        <v>291</v>
      </c>
      <c r="B1663" s="46"/>
      <c r="C1663" s="46"/>
      <c r="D1663" s="46"/>
      <c r="E1663" s="46"/>
      <c r="F1663" s="46"/>
      <c r="G1663" s="46"/>
      <c r="H1663" s="46"/>
      <c r="I1663" s="46"/>
      <c r="J1663" s="46"/>
      <c r="K1663" s="14"/>
      <c r="L1663" s="14"/>
    </row>
    <row r="1664" spans="1:12" ht="15.75">
      <c r="A1664" s="46" t="s">
        <v>333</v>
      </c>
      <c r="B1664" s="46"/>
      <c r="C1664" s="46"/>
      <c r="D1664" s="46"/>
      <c r="E1664" s="46"/>
      <c r="F1664" s="46"/>
      <c r="G1664" s="46"/>
      <c r="H1664" s="46"/>
      <c r="I1664" s="46"/>
      <c r="J1664" s="46"/>
      <c r="K1664" s="46"/>
      <c r="L1664" s="46"/>
    </row>
    <row r="1665" spans="1:12" ht="53.25" customHeight="1">
      <c r="A1665" s="47" t="s">
        <v>290</v>
      </c>
      <c r="B1665" s="47"/>
      <c r="C1665" s="47"/>
      <c r="D1665" s="47"/>
      <c r="E1665" s="47"/>
      <c r="F1665" s="47"/>
      <c r="G1665" s="47"/>
      <c r="H1665" s="47"/>
      <c r="I1665" s="47"/>
      <c r="J1665" s="47"/>
      <c r="K1665" s="16"/>
      <c r="L1665" s="16"/>
    </row>
    <row r="1666" spans="1:12" ht="12.75">
      <c r="A1666" s="12"/>
      <c r="B1666" s="12"/>
      <c r="C1666" s="12"/>
      <c r="D1666" s="12"/>
      <c r="E1666" s="12"/>
      <c r="F1666" s="12"/>
      <c r="G1666" s="12"/>
      <c r="H1666" s="12"/>
      <c r="I1666" s="12"/>
      <c r="J1666" s="12"/>
      <c r="K1666" s="13"/>
      <c r="L1666" s="13"/>
    </row>
    <row r="1667" spans="1:12" ht="12.75">
      <c r="A1667" s="18" t="s">
        <v>264</v>
      </c>
      <c r="B1667" s="48" t="s">
        <v>266</v>
      </c>
      <c r="C1667" s="48" t="s">
        <v>267</v>
      </c>
      <c r="D1667" s="18" t="s">
        <v>268</v>
      </c>
      <c r="K1667" s="13"/>
      <c r="L1667" s="13"/>
    </row>
    <row r="1668" spans="1:4" ht="12.75">
      <c r="A1668" s="18" t="s">
        <v>265</v>
      </c>
      <c r="B1668" s="48"/>
      <c r="C1668" s="48"/>
      <c r="D1668" s="18" t="s">
        <v>269</v>
      </c>
    </row>
    <row r="1669" spans="1:4" ht="38.25">
      <c r="A1669" s="19" t="s">
        <v>270</v>
      </c>
      <c r="B1669" s="19" t="s">
        <v>271</v>
      </c>
      <c r="C1669" s="19"/>
      <c r="D1669" s="18">
        <f>D1670+D1671+D1672+D1673+D1674+D1675</f>
        <v>266336.51</v>
      </c>
    </row>
    <row r="1670" spans="1:4" ht="38.25">
      <c r="A1670" s="19" t="s">
        <v>19</v>
      </c>
      <c r="B1670" s="20" t="s">
        <v>272</v>
      </c>
      <c r="C1670" s="19"/>
      <c r="D1670" s="18">
        <f>15677.4+4910.38+230800+9439.25</f>
        <v>260827.03</v>
      </c>
    </row>
    <row r="1671" spans="1:4" ht="38.25">
      <c r="A1671" s="19" t="s">
        <v>20</v>
      </c>
      <c r="B1671" s="20" t="s">
        <v>273</v>
      </c>
      <c r="C1671" s="19"/>
      <c r="D1671" s="18">
        <f>935.46</f>
        <v>935.46</v>
      </c>
    </row>
    <row r="1672" spans="1:4" ht="38.25">
      <c r="A1672" s="21" t="s">
        <v>293</v>
      </c>
      <c r="B1672" s="20" t="s">
        <v>274</v>
      </c>
      <c r="C1672" s="19"/>
      <c r="D1672" s="18"/>
    </row>
    <row r="1673" spans="1:4" ht="38.25">
      <c r="A1673" s="21" t="s">
        <v>292</v>
      </c>
      <c r="B1673" s="20" t="s">
        <v>275</v>
      </c>
      <c r="C1673" s="19"/>
      <c r="D1673" s="18"/>
    </row>
    <row r="1674" spans="1:4" ht="38.25">
      <c r="A1674" s="21" t="s">
        <v>294</v>
      </c>
      <c r="B1674" s="20" t="s">
        <v>276</v>
      </c>
      <c r="C1674" s="19"/>
      <c r="D1674" s="18">
        <v>4214.02</v>
      </c>
    </row>
    <row r="1675" spans="1:4" ht="25.5">
      <c r="A1675" s="21" t="s">
        <v>295</v>
      </c>
      <c r="B1675" s="20" t="s">
        <v>277</v>
      </c>
      <c r="C1675" s="19"/>
      <c r="D1675" s="18">
        <v>360</v>
      </c>
    </row>
    <row r="1676" spans="1:4" ht="12.75">
      <c r="A1676" s="19" t="s">
        <v>278</v>
      </c>
      <c r="B1676" s="19" t="s">
        <v>279</v>
      </c>
      <c r="C1676" s="19"/>
      <c r="D1676" s="18"/>
    </row>
    <row r="1677" spans="1:4" ht="12.75">
      <c r="A1677" s="19" t="s">
        <v>280</v>
      </c>
      <c r="B1677" s="19"/>
      <c r="C1677" s="19"/>
      <c r="D1677" s="18"/>
    </row>
    <row r="1678" spans="1:4" ht="12.75">
      <c r="A1678" s="19" t="s">
        <v>281</v>
      </c>
      <c r="B1678" s="19"/>
      <c r="C1678" s="19"/>
      <c r="D1678" s="18"/>
    </row>
    <row r="1679" spans="1:4" ht="12.75">
      <c r="A1679" s="19" t="s">
        <v>282</v>
      </c>
      <c r="B1679" s="19"/>
      <c r="C1679" s="19"/>
      <c r="D1679" s="18"/>
    </row>
    <row r="1680" ht="12.75">
      <c r="A1680" s="1"/>
    </row>
    <row r="1681" ht="12.75">
      <c r="A1681" s="1" t="s">
        <v>283</v>
      </c>
    </row>
    <row r="1682" spans="1:3" ht="12.75">
      <c r="A1682" s="1" t="s">
        <v>284</v>
      </c>
      <c r="C1682" t="s">
        <v>291</v>
      </c>
    </row>
    <row r="1683" ht="12.75">
      <c r="A1683" s="1"/>
    </row>
    <row r="1684" ht="12.75">
      <c r="A1684" s="1" t="s">
        <v>285</v>
      </c>
    </row>
    <row r="1685" ht="12.75">
      <c r="A1685" s="1"/>
    </row>
    <row r="1686" ht="12.75">
      <c r="A1686" s="1" t="s">
        <v>396</v>
      </c>
    </row>
    <row r="1687" ht="12.75">
      <c r="A1687" s="1" t="s">
        <v>287</v>
      </c>
    </row>
    <row r="1688" ht="12.75">
      <c r="A1688" s="9"/>
    </row>
    <row r="1689" ht="12.75">
      <c r="A1689" s="9"/>
    </row>
    <row r="1690" spans="1:4" ht="36" customHeight="1">
      <c r="A1690" s="49" t="s">
        <v>288</v>
      </c>
      <c r="B1690" s="49"/>
      <c r="C1690" s="49"/>
      <c r="D1690" s="49"/>
    </row>
    <row r="1691" ht="12.75">
      <c r="A1691" s="10"/>
    </row>
    <row r="1692" ht="12.75">
      <c r="A1692" s="10"/>
    </row>
    <row r="1693" ht="12.75">
      <c r="A1693" s="10"/>
    </row>
    <row r="1694" ht="12.75">
      <c r="A1694" s="1" t="s">
        <v>286</v>
      </c>
    </row>
    <row r="1695" ht="12.75">
      <c r="A1695" s="1" t="s">
        <v>289</v>
      </c>
    </row>
    <row r="1696" ht="12.75">
      <c r="A1696" s="11"/>
    </row>
    <row r="1697" ht="7.5" customHeight="1"/>
    <row r="1698" ht="14.25" customHeight="1" hidden="1"/>
    <row r="1699" spans="1:12" ht="15.75">
      <c r="A1699" s="46" t="s">
        <v>262</v>
      </c>
      <c r="B1699" s="46"/>
      <c r="C1699" s="46"/>
      <c r="D1699" s="46"/>
      <c r="E1699" s="46"/>
      <c r="F1699" s="46"/>
      <c r="G1699" s="46"/>
      <c r="H1699" s="46"/>
      <c r="I1699" s="46"/>
      <c r="J1699" s="46"/>
      <c r="K1699" s="46"/>
      <c r="L1699" s="14"/>
    </row>
    <row r="1700" spans="1:12" ht="15.75">
      <c r="A1700" s="46" t="s">
        <v>291</v>
      </c>
      <c r="B1700" s="46"/>
      <c r="C1700" s="46"/>
      <c r="D1700" s="46"/>
      <c r="E1700" s="46"/>
      <c r="F1700" s="46"/>
      <c r="G1700" s="46"/>
      <c r="H1700" s="46"/>
      <c r="I1700" s="46"/>
      <c r="J1700" s="46"/>
      <c r="K1700" s="14"/>
      <c r="L1700" s="14"/>
    </row>
    <row r="1701" spans="1:12" ht="15.75">
      <c r="A1701" s="46" t="s">
        <v>334</v>
      </c>
      <c r="B1701" s="46"/>
      <c r="C1701" s="46"/>
      <c r="D1701" s="46"/>
      <c r="E1701" s="46"/>
      <c r="F1701" s="46"/>
      <c r="G1701" s="46"/>
      <c r="H1701" s="46"/>
      <c r="I1701" s="46"/>
      <c r="J1701" s="46"/>
      <c r="K1701" s="46"/>
      <c r="L1701" s="46"/>
    </row>
    <row r="1702" spans="1:12" ht="52.5" customHeight="1">
      <c r="A1702" s="47" t="s">
        <v>290</v>
      </c>
      <c r="B1702" s="47"/>
      <c r="C1702" s="47"/>
      <c r="D1702" s="47"/>
      <c r="E1702" s="47"/>
      <c r="F1702" s="47"/>
      <c r="G1702" s="47"/>
      <c r="H1702" s="47"/>
      <c r="I1702" s="47"/>
      <c r="J1702" s="47"/>
      <c r="K1702" s="16"/>
      <c r="L1702" s="16"/>
    </row>
    <row r="1703" spans="1:12" ht="12.75">
      <c r="A1703" s="12"/>
      <c r="B1703" s="12"/>
      <c r="C1703" s="12"/>
      <c r="D1703" s="12"/>
      <c r="E1703" s="12"/>
      <c r="F1703" s="12"/>
      <c r="G1703" s="12"/>
      <c r="H1703" s="12"/>
      <c r="I1703" s="12"/>
      <c r="J1703" s="12"/>
      <c r="K1703" s="13"/>
      <c r="L1703" s="13"/>
    </row>
    <row r="1704" spans="1:12" ht="12.75">
      <c r="A1704" s="18" t="s">
        <v>264</v>
      </c>
      <c r="B1704" s="48" t="s">
        <v>266</v>
      </c>
      <c r="C1704" s="48" t="s">
        <v>267</v>
      </c>
      <c r="D1704" s="18" t="s">
        <v>268</v>
      </c>
      <c r="K1704" s="13"/>
      <c r="L1704" s="13"/>
    </row>
    <row r="1705" spans="1:4" ht="12.75">
      <c r="A1705" s="18" t="s">
        <v>265</v>
      </c>
      <c r="B1705" s="48"/>
      <c r="C1705" s="48"/>
      <c r="D1705" s="18" t="s">
        <v>269</v>
      </c>
    </row>
    <row r="1706" spans="1:4" ht="38.25">
      <c r="A1706" s="19" t="s">
        <v>270</v>
      </c>
      <c r="B1706" s="19" t="s">
        <v>271</v>
      </c>
      <c r="C1706" s="19"/>
      <c r="D1706" s="18">
        <f>D1707+D1708+D1709+D1710+D1711+D1712+D1713</f>
        <v>25968.48</v>
      </c>
    </row>
    <row r="1707" spans="1:4" ht="38.25">
      <c r="A1707" s="19" t="s">
        <v>19</v>
      </c>
      <c r="B1707" s="20" t="s">
        <v>272</v>
      </c>
      <c r="C1707" s="19"/>
      <c r="D1707" s="18"/>
    </row>
    <row r="1708" spans="1:4" ht="38.25">
      <c r="A1708" s="19" t="s">
        <v>20</v>
      </c>
      <c r="B1708" s="20" t="s">
        <v>273</v>
      </c>
      <c r="C1708" s="19"/>
      <c r="D1708" s="18">
        <f>753.72+19800+3200</f>
        <v>23753.72</v>
      </c>
    </row>
    <row r="1709" spans="1:4" ht="38.25">
      <c r="A1709" s="21" t="s">
        <v>293</v>
      </c>
      <c r="B1709" s="20" t="s">
        <v>274</v>
      </c>
      <c r="C1709" s="19"/>
      <c r="D1709" s="18">
        <v>912</v>
      </c>
    </row>
    <row r="1710" spans="1:4" ht="38.25">
      <c r="A1710" s="21" t="s">
        <v>292</v>
      </c>
      <c r="B1710" s="20" t="s">
        <v>275</v>
      </c>
      <c r="C1710" s="19"/>
      <c r="D1710" s="18"/>
    </row>
    <row r="1711" spans="1:4" ht="38.25">
      <c r="A1711" s="21" t="s">
        <v>294</v>
      </c>
      <c r="B1711" s="20" t="s">
        <v>276</v>
      </c>
      <c r="C1711" s="19"/>
      <c r="D1711" s="18"/>
    </row>
    <row r="1712" spans="1:4" ht="25.5">
      <c r="A1712" s="21" t="s">
        <v>295</v>
      </c>
      <c r="B1712" s="20" t="s">
        <v>277</v>
      </c>
      <c r="C1712" s="19"/>
      <c r="D1712" s="18">
        <f>784.98+517.78</f>
        <v>1302.76</v>
      </c>
    </row>
    <row r="1713" spans="1:4" ht="12.75">
      <c r="A1713" s="21"/>
      <c r="B1713" s="20"/>
      <c r="C1713" s="19"/>
      <c r="D1713" s="18"/>
    </row>
    <row r="1714" spans="1:4" ht="12.75">
      <c r="A1714" s="19" t="s">
        <v>278</v>
      </c>
      <c r="B1714" s="19" t="s">
        <v>279</v>
      </c>
      <c r="C1714" s="19"/>
      <c r="D1714" s="18">
        <f>D1715</f>
        <v>0</v>
      </c>
    </row>
    <row r="1715" spans="1:4" ht="12.75">
      <c r="A1715" s="19" t="s">
        <v>280</v>
      </c>
      <c r="B1715" s="19"/>
      <c r="C1715" s="19"/>
      <c r="D1715" s="18"/>
    </row>
    <row r="1716" spans="1:4" ht="12.75">
      <c r="A1716" s="19" t="s">
        <v>281</v>
      </c>
      <c r="B1716" s="19"/>
      <c r="C1716" s="19"/>
      <c r="D1716" s="18"/>
    </row>
    <row r="1717" spans="1:4" ht="12.75">
      <c r="A1717" s="19" t="s">
        <v>282</v>
      </c>
      <c r="B1717" s="19"/>
      <c r="C1717" s="19"/>
      <c r="D1717" s="18"/>
    </row>
    <row r="1718" ht="12.75">
      <c r="A1718" s="1"/>
    </row>
    <row r="1719" ht="12.75">
      <c r="A1719" s="1" t="s">
        <v>283</v>
      </c>
    </row>
    <row r="1720" spans="1:3" ht="12.75">
      <c r="A1720" s="1" t="s">
        <v>284</v>
      </c>
      <c r="C1720" t="s">
        <v>291</v>
      </c>
    </row>
    <row r="1721" ht="12.75">
      <c r="A1721" s="1"/>
    </row>
    <row r="1722" ht="12.75">
      <c r="A1722" s="1" t="s">
        <v>285</v>
      </c>
    </row>
    <row r="1723" ht="12.75">
      <c r="A1723" s="1"/>
    </row>
    <row r="1724" ht="12.75">
      <c r="A1724" s="1" t="s">
        <v>396</v>
      </c>
    </row>
    <row r="1725" ht="12.75">
      <c r="A1725" s="1" t="s">
        <v>287</v>
      </c>
    </row>
    <row r="1726" ht="12.75">
      <c r="A1726" s="9"/>
    </row>
    <row r="1727" ht="12.75">
      <c r="A1727" s="9"/>
    </row>
    <row r="1728" spans="1:4" ht="36" customHeight="1">
      <c r="A1728" s="49" t="s">
        <v>288</v>
      </c>
      <c r="B1728" s="49"/>
      <c r="C1728" s="49"/>
      <c r="D1728" s="49"/>
    </row>
    <row r="1729" ht="1.5" customHeight="1">
      <c r="A1729" s="10"/>
    </row>
    <row r="1730" ht="12.75">
      <c r="A1730" s="10"/>
    </row>
    <row r="1731" ht="12.75">
      <c r="A1731" s="10"/>
    </row>
    <row r="1732" ht="12.75">
      <c r="A1732" s="1" t="s">
        <v>286</v>
      </c>
    </row>
    <row r="1733" ht="12.75">
      <c r="A1733" s="1" t="s">
        <v>289</v>
      </c>
    </row>
    <row r="1734" ht="12.75">
      <c r="A1734" s="11"/>
    </row>
    <row r="1735" ht="0.75" customHeight="1"/>
    <row r="1736" ht="42" customHeight="1"/>
    <row r="1737" spans="1:12" ht="15.75">
      <c r="A1737" s="46" t="s">
        <v>262</v>
      </c>
      <c r="B1737" s="46"/>
      <c r="C1737" s="46"/>
      <c r="D1737" s="46"/>
      <c r="E1737" s="46"/>
      <c r="F1737" s="46"/>
      <c r="G1737" s="46"/>
      <c r="H1737" s="46"/>
      <c r="I1737" s="46"/>
      <c r="J1737" s="46"/>
      <c r="K1737" s="46"/>
      <c r="L1737" s="14"/>
    </row>
    <row r="1738" spans="1:12" ht="15.75">
      <c r="A1738" s="46" t="s">
        <v>291</v>
      </c>
      <c r="B1738" s="46"/>
      <c r="C1738" s="46"/>
      <c r="D1738" s="46"/>
      <c r="E1738" s="46"/>
      <c r="F1738" s="46"/>
      <c r="G1738" s="46"/>
      <c r="H1738" s="46"/>
      <c r="I1738" s="46"/>
      <c r="J1738" s="46"/>
      <c r="K1738" s="14"/>
      <c r="L1738" s="14"/>
    </row>
    <row r="1739" spans="1:12" ht="15.75">
      <c r="A1739" s="46" t="s">
        <v>335</v>
      </c>
      <c r="B1739" s="46"/>
      <c r="C1739" s="46"/>
      <c r="D1739" s="46"/>
      <c r="E1739" s="46"/>
      <c r="F1739" s="46"/>
      <c r="G1739" s="46"/>
      <c r="H1739" s="46"/>
      <c r="I1739" s="46"/>
      <c r="J1739" s="46"/>
      <c r="K1739" s="46"/>
      <c r="L1739" s="46"/>
    </row>
    <row r="1740" spans="1:12" ht="52.5" customHeight="1">
      <c r="A1740" s="47" t="s">
        <v>290</v>
      </c>
      <c r="B1740" s="47"/>
      <c r="C1740" s="47"/>
      <c r="D1740" s="47"/>
      <c r="E1740" s="47"/>
      <c r="F1740" s="47"/>
      <c r="G1740" s="47"/>
      <c r="H1740" s="47"/>
      <c r="I1740" s="47"/>
      <c r="J1740" s="47"/>
      <c r="K1740" s="16"/>
      <c r="L1740" s="16"/>
    </row>
    <row r="1741" spans="1:12" ht="12.75">
      <c r="A1741" s="12"/>
      <c r="B1741" s="12"/>
      <c r="C1741" s="12"/>
      <c r="D1741" s="12"/>
      <c r="E1741" s="12"/>
      <c r="F1741" s="12"/>
      <c r="G1741" s="12"/>
      <c r="H1741" s="12"/>
      <c r="I1741" s="12"/>
      <c r="J1741" s="12"/>
      <c r="K1741" s="13"/>
      <c r="L1741" s="13"/>
    </row>
    <row r="1742" spans="1:12" ht="12.75">
      <c r="A1742" s="18" t="s">
        <v>264</v>
      </c>
      <c r="B1742" s="48" t="s">
        <v>266</v>
      </c>
      <c r="C1742" s="48" t="s">
        <v>267</v>
      </c>
      <c r="D1742" s="18" t="s">
        <v>268</v>
      </c>
      <c r="K1742" s="13"/>
      <c r="L1742" s="13"/>
    </row>
    <row r="1743" spans="1:4" ht="12.75">
      <c r="A1743" s="18" t="s">
        <v>265</v>
      </c>
      <c r="B1743" s="48"/>
      <c r="C1743" s="48"/>
      <c r="D1743" s="18" t="s">
        <v>269</v>
      </c>
    </row>
    <row r="1744" spans="1:4" ht="38.25">
      <c r="A1744" s="19" t="s">
        <v>270</v>
      </c>
      <c r="B1744" s="19" t="s">
        <v>271</v>
      </c>
      <c r="C1744" s="19"/>
      <c r="D1744" s="18">
        <f>D1745+D1746+D1747+D1748+D1749+D1750</f>
        <v>32108.65</v>
      </c>
    </row>
    <row r="1745" spans="1:4" ht="38.25">
      <c r="A1745" s="19" t="s">
        <v>19</v>
      </c>
      <c r="B1745" s="20" t="s">
        <v>272</v>
      </c>
      <c r="C1745" s="19"/>
      <c r="D1745" s="18">
        <v>32108.65</v>
      </c>
    </row>
    <row r="1746" spans="1:4" ht="38.25">
      <c r="A1746" s="19" t="s">
        <v>20</v>
      </c>
      <c r="B1746" s="20" t="s">
        <v>273</v>
      </c>
      <c r="C1746" s="19"/>
      <c r="D1746" s="18"/>
    </row>
    <row r="1747" spans="1:4" ht="38.25">
      <c r="A1747" s="21" t="s">
        <v>293</v>
      </c>
      <c r="B1747" s="20" t="s">
        <v>274</v>
      </c>
      <c r="C1747" s="19"/>
      <c r="D1747" s="18"/>
    </row>
    <row r="1748" spans="1:4" ht="38.25">
      <c r="A1748" s="21" t="s">
        <v>292</v>
      </c>
      <c r="B1748" s="20" t="s">
        <v>275</v>
      </c>
      <c r="C1748" s="19"/>
      <c r="D1748" s="18"/>
    </row>
    <row r="1749" spans="1:4" ht="38.25">
      <c r="A1749" s="21" t="s">
        <v>294</v>
      </c>
      <c r="B1749" s="20" t="s">
        <v>276</v>
      </c>
      <c r="C1749" s="19"/>
      <c r="D1749" s="18"/>
    </row>
    <row r="1750" spans="1:4" ht="25.5">
      <c r="A1750" s="21" t="s">
        <v>295</v>
      </c>
      <c r="B1750" s="20" t="s">
        <v>277</v>
      </c>
      <c r="C1750" s="19"/>
      <c r="D1750" s="18"/>
    </row>
    <row r="1751" spans="1:4" ht="12.75">
      <c r="A1751" s="19" t="s">
        <v>278</v>
      </c>
      <c r="B1751" s="19" t="s">
        <v>279</v>
      </c>
      <c r="C1751" s="19"/>
      <c r="D1751" s="18">
        <f>D1752</f>
        <v>0</v>
      </c>
    </row>
    <row r="1752" spans="1:4" ht="38.25">
      <c r="A1752" s="19" t="s">
        <v>280</v>
      </c>
      <c r="B1752" s="19" t="s">
        <v>386</v>
      </c>
      <c r="C1752" s="19"/>
      <c r="D1752" s="18"/>
    </row>
    <row r="1753" spans="1:4" ht="12.75">
      <c r="A1753" s="19" t="s">
        <v>281</v>
      </c>
      <c r="B1753" s="19"/>
      <c r="C1753" s="19"/>
      <c r="D1753" s="18"/>
    </row>
    <row r="1754" spans="1:4" ht="12.75">
      <c r="A1754" s="19" t="s">
        <v>282</v>
      </c>
      <c r="B1754" s="19"/>
      <c r="C1754" s="19"/>
      <c r="D1754" s="18"/>
    </row>
    <row r="1755" ht="12.75">
      <c r="A1755" s="1"/>
    </row>
    <row r="1756" ht="12.75">
      <c r="A1756" s="1" t="s">
        <v>283</v>
      </c>
    </row>
    <row r="1757" spans="1:3" ht="12.75">
      <c r="A1757" s="1" t="s">
        <v>284</v>
      </c>
      <c r="C1757" t="s">
        <v>291</v>
      </c>
    </row>
    <row r="1758" ht="12.75">
      <c r="A1758" s="1"/>
    </row>
    <row r="1759" ht="12.75">
      <c r="A1759" s="1" t="s">
        <v>285</v>
      </c>
    </row>
    <row r="1760" ht="12.75">
      <c r="A1760" s="1"/>
    </row>
    <row r="1761" ht="12.75">
      <c r="A1761" s="1" t="s">
        <v>396</v>
      </c>
    </row>
    <row r="1762" ht="12.75">
      <c r="A1762" s="1" t="s">
        <v>287</v>
      </c>
    </row>
    <row r="1763" ht="12.75">
      <c r="A1763" s="9"/>
    </row>
    <row r="1764" ht="12.75">
      <c r="A1764" s="9"/>
    </row>
    <row r="1765" spans="1:4" ht="39" customHeight="1">
      <c r="A1765" s="49" t="s">
        <v>288</v>
      </c>
      <c r="B1765" s="49"/>
      <c r="C1765" s="49"/>
      <c r="D1765" s="49"/>
    </row>
    <row r="1766" ht="12.75">
      <c r="A1766" s="10"/>
    </row>
    <row r="1767" ht="12.75">
      <c r="A1767" s="10"/>
    </row>
    <row r="1768" ht="12.75">
      <c r="A1768" s="10"/>
    </row>
    <row r="1769" ht="12.75">
      <c r="A1769" s="1" t="s">
        <v>286</v>
      </c>
    </row>
    <row r="1770" ht="12.75">
      <c r="A1770" s="1" t="s">
        <v>289</v>
      </c>
    </row>
    <row r="1771" ht="12.75">
      <c r="A1771" s="11"/>
    </row>
    <row r="1772" ht="12.75" hidden="1"/>
    <row r="1773" ht="12.75" hidden="1"/>
    <row r="1774" spans="1:12" ht="15.75">
      <c r="A1774" s="46" t="s">
        <v>262</v>
      </c>
      <c r="B1774" s="46"/>
      <c r="C1774" s="46"/>
      <c r="D1774" s="46"/>
      <c r="E1774" s="46"/>
      <c r="F1774" s="46"/>
      <c r="G1774" s="46"/>
      <c r="H1774" s="46"/>
      <c r="I1774" s="46"/>
      <c r="J1774" s="46"/>
      <c r="K1774" s="46"/>
      <c r="L1774" s="14"/>
    </row>
    <row r="1775" spans="1:12" ht="15.75">
      <c r="A1775" s="46" t="s">
        <v>291</v>
      </c>
      <c r="B1775" s="46"/>
      <c r="C1775" s="46"/>
      <c r="D1775" s="46"/>
      <c r="E1775" s="46"/>
      <c r="F1775" s="46"/>
      <c r="G1775" s="46"/>
      <c r="H1775" s="46"/>
      <c r="I1775" s="46"/>
      <c r="J1775" s="46"/>
      <c r="K1775" s="14"/>
      <c r="L1775" s="14"/>
    </row>
    <row r="1776" spans="1:12" ht="15.75">
      <c r="A1776" s="46" t="s">
        <v>336</v>
      </c>
      <c r="B1776" s="46"/>
      <c r="C1776" s="46"/>
      <c r="D1776" s="46"/>
      <c r="E1776" s="46"/>
      <c r="F1776" s="46"/>
      <c r="G1776" s="46"/>
      <c r="H1776" s="46"/>
      <c r="I1776" s="46"/>
      <c r="J1776" s="46"/>
      <c r="K1776" s="46"/>
      <c r="L1776" s="46"/>
    </row>
    <row r="1777" spans="1:12" ht="54" customHeight="1">
      <c r="A1777" s="47" t="s">
        <v>290</v>
      </c>
      <c r="B1777" s="47"/>
      <c r="C1777" s="47"/>
      <c r="D1777" s="47"/>
      <c r="E1777" s="47"/>
      <c r="F1777" s="47"/>
      <c r="G1777" s="47"/>
      <c r="H1777" s="47"/>
      <c r="I1777" s="47"/>
      <c r="J1777" s="47"/>
      <c r="K1777" s="16"/>
      <c r="L1777" s="16"/>
    </row>
    <row r="1778" spans="1:12" ht="12.75">
      <c r="A1778" s="12"/>
      <c r="B1778" s="12"/>
      <c r="C1778" s="12"/>
      <c r="D1778" s="12"/>
      <c r="E1778" s="12"/>
      <c r="F1778" s="12"/>
      <c r="G1778" s="12"/>
      <c r="H1778" s="12"/>
      <c r="I1778" s="12"/>
      <c r="J1778" s="12"/>
      <c r="K1778" s="13"/>
      <c r="L1778" s="13"/>
    </row>
    <row r="1779" spans="1:12" ht="12.75">
      <c r="A1779" s="18" t="s">
        <v>264</v>
      </c>
      <c r="B1779" s="48" t="s">
        <v>266</v>
      </c>
      <c r="C1779" s="48" t="s">
        <v>267</v>
      </c>
      <c r="D1779" s="18" t="s">
        <v>268</v>
      </c>
      <c r="K1779" s="13"/>
      <c r="L1779" s="13"/>
    </row>
    <row r="1780" spans="1:4" ht="12.75">
      <c r="A1780" s="18" t="s">
        <v>265</v>
      </c>
      <c r="B1780" s="48"/>
      <c r="C1780" s="48"/>
      <c r="D1780" s="18" t="s">
        <v>269</v>
      </c>
    </row>
    <row r="1781" spans="1:4" ht="38.25">
      <c r="A1781" s="19" t="s">
        <v>270</v>
      </c>
      <c r="B1781" s="19" t="s">
        <v>271</v>
      </c>
      <c r="C1781" s="19"/>
      <c r="D1781" s="18">
        <f>D1782+D1783+D1784+D1785+D1786+D1787</f>
        <v>64844.770000000004</v>
      </c>
    </row>
    <row r="1782" spans="1:4" ht="38.25">
      <c r="A1782" s="19" t="s">
        <v>19</v>
      </c>
      <c r="B1782" s="20" t="s">
        <v>272</v>
      </c>
      <c r="C1782" s="19"/>
      <c r="D1782" s="18">
        <v>3103.33</v>
      </c>
    </row>
    <row r="1783" spans="1:4" ht="38.25">
      <c r="A1783" s="19" t="s">
        <v>20</v>
      </c>
      <c r="B1783" s="20" t="s">
        <v>273</v>
      </c>
      <c r="C1783" s="19"/>
      <c r="D1783" s="18">
        <f>51929.58</f>
        <v>51929.58</v>
      </c>
    </row>
    <row r="1784" spans="1:4" ht="38.25">
      <c r="A1784" s="21" t="s">
        <v>293</v>
      </c>
      <c r="B1784" s="20" t="s">
        <v>274</v>
      </c>
      <c r="C1784" s="19"/>
      <c r="D1784" s="18">
        <f>519.31+4479.55+413</f>
        <v>5411.860000000001</v>
      </c>
    </row>
    <row r="1785" spans="1:4" ht="38.25">
      <c r="A1785" s="21" t="s">
        <v>292</v>
      </c>
      <c r="B1785" s="20" t="s">
        <v>275</v>
      </c>
      <c r="C1785" s="19"/>
      <c r="D1785" s="18"/>
    </row>
    <row r="1786" spans="1:4" ht="38.25">
      <c r="A1786" s="21" t="s">
        <v>294</v>
      </c>
      <c r="B1786" s="20" t="s">
        <v>276</v>
      </c>
      <c r="C1786" s="19"/>
      <c r="D1786" s="18">
        <v>4400</v>
      </c>
    </row>
    <row r="1787" spans="1:4" ht="25.5">
      <c r="A1787" s="21" t="s">
        <v>295</v>
      </c>
      <c r="B1787" s="20" t="s">
        <v>277</v>
      </c>
      <c r="C1787" s="19"/>
      <c r="D1787" s="18"/>
    </row>
    <row r="1788" spans="1:4" ht="12.75">
      <c r="A1788" s="19" t="s">
        <v>278</v>
      </c>
      <c r="B1788" s="19" t="s">
        <v>279</v>
      </c>
      <c r="C1788" s="19"/>
      <c r="D1788" s="18">
        <f>D1789</f>
        <v>0</v>
      </c>
    </row>
    <row r="1789" spans="1:4" ht="12.75">
      <c r="A1789" s="19" t="s">
        <v>280</v>
      </c>
      <c r="B1789" s="19"/>
      <c r="C1789" s="19"/>
      <c r="D1789" s="18"/>
    </row>
    <row r="1790" spans="1:4" ht="12.75">
      <c r="A1790" s="19" t="s">
        <v>281</v>
      </c>
      <c r="B1790" s="19"/>
      <c r="C1790" s="19"/>
      <c r="D1790" s="18"/>
    </row>
    <row r="1791" spans="1:4" ht="12.75">
      <c r="A1791" s="19" t="s">
        <v>282</v>
      </c>
      <c r="B1791" s="19"/>
      <c r="C1791" s="19"/>
      <c r="D1791" s="18"/>
    </row>
    <row r="1792" ht="12.75">
      <c r="A1792" s="1"/>
    </row>
    <row r="1793" ht="12.75">
      <c r="A1793" s="1" t="s">
        <v>283</v>
      </c>
    </row>
    <row r="1794" spans="1:3" ht="12.75">
      <c r="A1794" s="1" t="s">
        <v>284</v>
      </c>
      <c r="C1794" t="s">
        <v>291</v>
      </c>
    </row>
    <row r="1795" ht="12.75">
      <c r="A1795" s="1"/>
    </row>
    <row r="1796" ht="12.75">
      <c r="A1796" s="1" t="s">
        <v>285</v>
      </c>
    </row>
    <row r="1797" ht="12.75">
      <c r="A1797" s="1"/>
    </row>
    <row r="1798" ht="12.75">
      <c r="A1798" s="1" t="s">
        <v>396</v>
      </c>
    </row>
    <row r="1799" ht="12.75">
      <c r="A1799" s="1" t="s">
        <v>287</v>
      </c>
    </row>
    <row r="1800" ht="12.75">
      <c r="A1800" s="9"/>
    </row>
    <row r="1801" ht="12.75">
      <c r="A1801" s="9"/>
    </row>
    <row r="1802" spans="1:4" ht="39.75" customHeight="1">
      <c r="A1802" s="49" t="s">
        <v>288</v>
      </c>
      <c r="B1802" s="49"/>
      <c r="C1802" s="49"/>
      <c r="D1802" s="49"/>
    </row>
    <row r="1803" ht="12.75">
      <c r="A1803" s="10"/>
    </row>
    <row r="1804" ht="12.75">
      <c r="A1804" s="10"/>
    </row>
    <row r="1805" ht="12.75">
      <c r="A1805" s="10"/>
    </row>
    <row r="1806" ht="12.75">
      <c r="A1806" s="1" t="s">
        <v>286</v>
      </c>
    </row>
    <row r="1807" ht="12.75">
      <c r="A1807" s="1" t="s">
        <v>289</v>
      </c>
    </row>
    <row r="1808" ht="12.75">
      <c r="A1808" s="1"/>
    </row>
    <row r="1809" ht="12.75">
      <c r="A1809" s="11"/>
    </row>
    <row r="1810" ht="1.5" customHeight="1"/>
    <row r="1811" ht="12.75" hidden="1"/>
    <row r="1812" spans="1:12" ht="15.75">
      <c r="A1812" s="46" t="s">
        <v>262</v>
      </c>
      <c r="B1812" s="46"/>
      <c r="C1812" s="46"/>
      <c r="D1812" s="46"/>
      <c r="E1812" s="46"/>
      <c r="F1812" s="46"/>
      <c r="G1812" s="46"/>
      <c r="H1812" s="46"/>
      <c r="I1812" s="46"/>
      <c r="J1812" s="46"/>
      <c r="K1812" s="46"/>
      <c r="L1812" s="14"/>
    </row>
    <row r="1813" spans="1:12" ht="15.75">
      <c r="A1813" s="46" t="s">
        <v>291</v>
      </c>
      <c r="B1813" s="46"/>
      <c r="C1813" s="46"/>
      <c r="D1813" s="46"/>
      <c r="E1813" s="46"/>
      <c r="F1813" s="46"/>
      <c r="G1813" s="46"/>
      <c r="H1813" s="46"/>
      <c r="I1813" s="46"/>
      <c r="J1813" s="46"/>
      <c r="K1813" s="14"/>
      <c r="L1813" s="14"/>
    </row>
    <row r="1814" spans="1:12" ht="15.75">
      <c r="A1814" s="46" t="s">
        <v>337</v>
      </c>
      <c r="B1814" s="46"/>
      <c r="C1814" s="46"/>
      <c r="D1814" s="46"/>
      <c r="E1814" s="46"/>
      <c r="F1814" s="46"/>
      <c r="G1814" s="46"/>
      <c r="H1814" s="46"/>
      <c r="I1814" s="46"/>
      <c r="J1814" s="46"/>
      <c r="K1814" s="46"/>
      <c r="L1814" s="46"/>
    </row>
    <row r="1815" spans="1:12" ht="51.75" customHeight="1">
      <c r="A1815" s="47" t="s">
        <v>290</v>
      </c>
      <c r="B1815" s="47"/>
      <c r="C1815" s="47"/>
      <c r="D1815" s="47"/>
      <c r="E1815" s="47"/>
      <c r="F1815" s="47"/>
      <c r="G1815" s="47"/>
      <c r="H1815" s="47"/>
      <c r="I1815" s="47"/>
      <c r="J1815" s="47"/>
      <c r="K1815" s="16"/>
      <c r="L1815" s="16"/>
    </row>
    <row r="1816" spans="1:12" ht="12.75">
      <c r="A1816" s="12"/>
      <c r="B1816" s="12"/>
      <c r="C1816" s="12"/>
      <c r="D1816" s="12"/>
      <c r="E1816" s="12"/>
      <c r="F1816" s="12"/>
      <c r="G1816" s="12"/>
      <c r="H1816" s="12"/>
      <c r="I1816" s="12"/>
      <c r="J1816" s="12"/>
      <c r="K1816" s="13"/>
      <c r="L1816" s="13"/>
    </row>
    <row r="1817" spans="1:12" ht="12.75">
      <c r="A1817" s="18" t="s">
        <v>264</v>
      </c>
      <c r="B1817" s="48" t="s">
        <v>266</v>
      </c>
      <c r="C1817" s="48" t="s">
        <v>267</v>
      </c>
      <c r="D1817" s="18" t="s">
        <v>268</v>
      </c>
      <c r="K1817" s="13"/>
      <c r="L1817" s="13"/>
    </row>
    <row r="1818" spans="1:4" ht="12.75">
      <c r="A1818" s="18" t="s">
        <v>265</v>
      </c>
      <c r="B1818" s="48"/>
      <c r="C1818" s="48"/>
      <c r="D1818" s="18" t="s">
        <v>269</v>
      </c>
    </row>
    <row r="1819" spans="1:4" ht="38.25">
      <c r="A1819" s="19" t="s">
        <v>270</v>
      </c>
      <c r="B1819" s="19" t="s">
        <v>271</v>
      </c>
      <c r="C1819" s="19"/>
      <c r="D1819" s="18">
        <f>D1820+D1821+D1822+D1823+D1824+D1825</f>
        <v>12919.39</v>
      </c>
    </row>
    <row r="1820" spans="1:4" ht="38.25">
      <c r="A1820" s="19" t="s">
        <v>19</v>
      </c>
      <c r="B1820" s="20" t="s">
        <v>272</v>
      </c>
      <c r="C1820" s="19"/>
      <c r="D1820" s="18"/>
    </row>
    <row r="1821" spans="1:4" ht="38.25">
      <c r="A1821" s="19" t="s">
        <v>20</v>
      </c>
      <c r="B1821" s="20" t="s">
        <v>273</v>
      </c>
      <c r="C1821" s="19"/>
      <c r="D1821" s="18">
        <f>3605.65+458</f>
        <v>4063.65</v>
      </c>
    </row>
    <row r="1822" spans="1:4" ht="38.25">
      <c r="A1822" s="21" t="s">
        <v>293</v>
      </c>
      <c r="B1822" s="20" t="s">
        <v>274</v>
      </c>
      <c r="C1822" s="19"/>
      <c r="D1822" s="18">
        <f>465.49+4844</f>
        <v>5309.49</v>
      </c>
    </row>
    <row r="1823" spans="1:4" ht="38.25">
      <c r="A1823" s="21" t="s">
        <v>292</v>
      </c>
      <c r="B1823" s="20" t="s">
        <v>275</v>
      </c>
      <c r="C1823" s="19"/>
      <c r="D1823" s="18"/>
    </row>
    <row r="1824" spans="1:4" ht="38.25">
      <c r="A1824" s="21" t="s">
        <v>294</v>
      </c>
      <c r="B1824" s="20" t="s">
        <v>276</v>
      </c>
      <c r="C1824" s="19"/>
      <c r="D1824" s="18">
        <f>2897.25</f>
        <v>2897.25</v>
      </c>
    </row>
    <row r="1825" spans="1:4" ht="25.5">
      <c r="A1825" s="21" t="s">
        <v>295</v>
      </c>
      <c r="B1825" s="20" t="s">
        <v>277</v>
      </c>
      <c r="C1825" s="19"/>
      <c r="D1825" s="18">
        <f>649</f>
        <v>649</v>
      </c>
    </row>
    <row r="1826" spans="1:4" ht="12.75">
      <c r="A1826" s="19" t="s">
        <v>278</v>
      </c>
      <c r="B1826" s="19" t="s">
        <v>279</v>
      </c>
      <c r="C1826" s="19"/>
      <c r="D1826" s="18">
        <f>D1827</f>
        <v>123446</v>
      </c>
    </row>
    <row r="1827" spans="1:4" ht="38.25">
      <c r="A1827" s="19" t="s">
        <v>280</v>
      </c>
      <c r="B1827" s="19" t="s">
        <v>424</v>
      </c>
      <c r="C1827" s="19"/>
      <c r="D1827" s="18">
        <v>123446</v>
      </c>
    </row>
    <row r="1828" spans="1:4" ht="12.75">
      <c r="A1828" s="19" t="s">
        <v>281</v>
      </c>
      <c r="B1828" s="19"/>
      <c r="C1828" s="19"/>
      <c r="D1828" s="18"/>
    </row>
    <row r="1829" spans="1:4" ht="12.75">
      <c r="A1829" s="19" t="s">
        <v>282</v>
      </c>
      <c r="B1829" s="19"/>
      <c r="C1829" s="19"/>
      <c r="D1829" s="18"/>
    </row>
    <row r="1830" ht="12.75">
      <c r="A1830" s="1"/>
    </row>
    <row r="1831" ht="12.75">
      <c r="A1831" s="1" t="s">
        <v>283</v>
      </c>
    </row>
    <row r="1832" spans="1:3" ht="12.75">
      <c r="A1832" s="1" t="s">
        <v>284</v>
      </c>
      <c r="C1832" t="s">
        <v>291</v>
      </c>
    </row>
    <row r="1833" ht="12.75">
      <c r="A1833" s="1"/>
    </row>
    <row r="1834" ht="12.75">
      <c r="A1834" s="1" t="s">
        <v>285</v>
      </c>
    </row>
    <row r="1835" ht="12.75">
      <c r="A1835" s="1"/>
    </row>
    <row r="1836" ht="12.75">
      <c r="A1836" s="1" t="s">
        <v>396</v>
      </c>
    </row>
    <row r="1837" ht="12.75">
      <c r="A1837" s="1" t="s">
        <v>287</v>
      </c>
    </row>
    <row r="1838" ht="12.75">
      <c r="A1838" s="9"/>
    </row>
    <row r="1839" ht="12.75">
      <c r="A1839" s="9"/>
    </row>
    <row r="1840" spans="1:4" ht="39" customHeight="1">
      <c r="A1840" s="49" t="s">
        <v>288</v>
      </c>
      <c r="B1840" s="49"/>
      <c r="C1840" s="49"/>
      <c r="D1840" s="49"/>
    </row>
    <row r="1841" ht="12.75">
      <c r="A1841" s="10"/>
    </row>
    <row r="1842" ht="12.75">
      <c r="A1842" s="10"/>
    </row>
    <row r="1843" ht="12.75">
      <c r="A1843" s="10"/>
    </row>
    <row r="1844" ht="12.75">
      <c r="A1844" s="1" t="s">
        <v>286</v>
      </c>
    </row>
    <row r="1845" ht="12.75">
      <c r="A1845" s="1" t="s">
        <v>289</v>
      </c>
    </row>
    <row r="1846" ht="12.75">
      <c r="A1846" s="11"/>
    </row>
    <row r="1847" ht="27.75" customHeight="1"/>
    <row r="1848" spans="1:12" ht="15.75">
      <c r="A1848" s="46" t="s">
        <v>262</v>
      </c>
      <c r="B1848" s="46"/>
      <c r="C1848" s="46"/>
      <c r="D1848" s="46"/>
      <c r="E1848" s="46"/>
      <c r="F1848" s="46"/>
      <c r="G1848" s="46"/>
      <c r="H1848" s="46"/>
      <c r="I1848" s="46"/>
      <c r="J1848" s="46"/>
      <c r="K1848" s="46"/>
      <c r="L1848" s="14"/>
    </row>
    <row r="1849" spans="1:12" ht="15.75">
      <c r="A1849" s="46" t="s">
        <v>291</v>
      </c>
      <c r="B1849" s="46"/>
      <c r="C1849" s="46"/>
      <c r="D1849" s="46"/>
      <c r="E1849" s="46"/>
      <c r="F1849" s="46"/>
      <c r="G1849" s="46"/>
      <c r="H1849" s="46"/>
      <c r="I1849" s="46"/>
      <c r="J1849" s="46"/>
      <c r="K1849" s="14"/>
      <c r="L1849" s="14"/>
    </row>
    <row r="1850" spans="1:12" ht="15.75">
      <c r="A1850" s="46" t="s">
        <v>348</v>
      </c>
      <c r="B1850" s="46"/>
      <c r="C1850" s="46"/>
      <c r="D1850" s="46"/>
      <c r="E1850" s="46"/>
      <c r="F1850" s="46"/>
      <c r="G1850" s="46"/>
      <c r="H1850" s="46"/>
      <c r="I1850" s="46"/>
      <c r="J1850" s="46"/>
      <c r="K1850" s="46"/>
      <c r="L1850" s="46"/>
    </row>
    <row r="1851" spans="1:12" ht="15.75">
      <c r="A1851" s="47" t="s">
        <v>290</v>
      </c>
      <c r="B1851" s="47"/>
      <c r="C1851" s="47"/>
      <c r="D1851" s="47"/>
      <c r="E1851" s="47"/>
      <c r="F1851" s="47"/>
      <c r="G1851" s="47"/>
      <c r="H1851" s="47"/>
      <c r="I1851" s="47"/>
      <c r="J1851" s="47"/>
      <c r="K1851" s="16"/>
      <c r="L1851" s="16"/>
    </row>
    <row r="1852" spans="1:12" ht="12.75">
      <c r="A1852" s="12"/>
      <c r="B1852" s="12"/>
      <c r="C1852" s="12"/>
      <c r="D1852" s="12"/>
      <c r="E1852" s="12"/>
      <c r="F1852" s="12"/>
      <c r="G1852" s="12"/>
      <c r="H1852" s="12"/>
      <c r="I1852" s="12"/>
      <c r="J1852" s="12"/>
      <c r="K1852" s="13"/>
      <c r="L1852" s="13"/>
    </row>
    <row r="1853" spans="1:12" ht="12.75">
      <c r="A1853" s="18" t="s">
        <v>264</v>
      </c>
      <c r="B1853" s="48" t="s">
        <v>266</v>
      </c>
      <c r="C1853" s="48" t="s">
        <v>267</v>
      </c>
      <c r="D1853" s="18" t="s">
        <v>268</v>
      </c>
      <c r="K1853" s="13"/>
      <c r="L1853" s="13"/>
    </row>
    <row r="1854" spans="1:4" ht="12.75">
      <c r="A1854" s="18" t="s">
        <v>265</v>
      </c>
      <c r="B1854" s="48"/>
      <c r="C1854" s="48"/>
      <c r="D1854" s="18" t="s">
        <v>269</v>
      </c>
    </row>
    <row r="1855" spans="1:4" ht="38.25">
      <c r="A1855" s="19" t="s">
        <v>270</v>
      </c>
      <c r="B1855" s="19" t="s">
        <v>271</v>
      </c>
      <c r="C1855" s="19"/>
      <c r="D1855" s="18">
        <f>D1856+D1857+D1858+D1859+D1860+D1861</f>
        <v>3818.2700000000004</v>
      </c>
    </row>
    <row r="1856" spans="1:4" ht="38.25">
      <c r="A1856" s="19" t="s">
        <v>19</v>
      </c>
      <c r="B1856" s="20" t="s">
        <v>272</v>
      </c>
      <c r="C1856" s="19"/>
      <c r="D1856" s="18">
        <f>2267.07+1551.2</f>
        <v>3818.2700000000004</v>
      </c>
    </row>
    <row r="1857" spans="1:4" ht="38.25">
      <c r="A1857" s="19" t="s">
        <v>20</v>
      </c>
      <c r="B1857" s="20" t="s">
        <v>273</v>
      </c>
      <c r="C1857" s="19"/>
      <c r="D1857" s="18"/>
    </row>
    <row r="1858" spans="1:4" ht="38.25">
      <c r="A1858" s="21" t="s">
        <v>293</v>
      </c>
      <c r="B1858" s="20" t="s">
        <v>274</v>
      </c>
      <c r="C1858" s="19"/>
      <c r="D1858" s="18"/>
    </row>
    <row r="1859" spans="1:4" ht="38.25">
      <c r="A1859" s="21" t="s">
        <v>292</v>
      </c>
      <c r="B1859" s="20" t="s">
        <v>275</v>
      </c>
      <c r="C1859" s="19"/>
      <c r="D1859" s="18"/>
    </row>
    <row r="1860" spans="1:4" ht="38.25">
      <c r="A1860" s="21" t="s">
        <v>294</v>
      </c>
      <c r="B1860" s="20" t="s">
        <v>276</v>
      </c>
      <c r="C1860" s="19"/>
      <c r="D1860" s="18"/>
    </row>
    <row r="1861" spans="1:4" ht="25.5">
      <c r="A1861" s="21" t="s">
        <v>295</v>
      </c>
      <c r="B1861" s="20" t="s">
        <v>277</v>
      </c>
      <c r="C1861" s="19"/>
      <c r="D1861" s="18"/>
    </row>
    <row r="1862" spans="1:4" ht="12.75">
      <c r="A1862" s="19" t="s">
        <v>278</v>
      </c>
      <c r="B1862" s="19" t="s">
        <v>279</v>
      </c>
      <c r="C1862" s="19"/>
      <c r="D1862" s="18">
        <f>D1863</f>
        <v>0</v>
      </c>
    </row>
    <row r="1863" spans="1:4" ht="12.75">
      <c r="A1863" s="19" t="s">
        <v>280</v>
      </c>
      <c r="B1863" s="20"/>
      <c r="C1863" s="19"/>
      <c r="D1863" s="18"/>
    </row>
    <row r="1864" spans="1:4" ht="12.75">
      <c r="A1864" s="19" t="s">
        <v>281</v>
      </c>
      <c r="B1864" s="19"/>
      <c r="C1864" s="19"/>
      <c r="D1864" s="18"/>
    </row>
    <row r="1865" spans="1:4" ht="12.75">
      <c r="A1865" s="19" t="s">
        <v>282</v>
      </c>
      <c r="B1865" s="19"/>
      <c r="C1865" s="19"/>
      <c r="D1865" s="18"/>
    </row>
    <row r="1866" ht="12.75">
      <c r="A1866" s="1"/>
    </row>
    <row r="1867" ht="12.75">
      <c r="A1867" s="1" t="s">
        <v>283</v>
      </c>
    </row>
    <row r="1868" spans="1:3" ht="12.75">
      <c r="A1868" s="1" t="s">
        <v>284</v>
      </c>
      <c r="C1868" t="s">
        <v>291</v>
      </c>
    </row>
    <row r="1869" ht="12.75">
      <c r="A1869" s="1"/>
    </row>
    <row r="1870" ht="12.75">
      <c r="A1870" s="1" t="s">
        <v>285</v>
      </c>
    </row>
    <row r="1871" ht="12.75">
      <c r="A1871" s="1"/>
    </row>
    <row r="1872" ht="12.75">
      <c r="A1872" s="1" t="s">
        <v>396</v>
      </c>
    </row>
    <row r="1873" ht="12.75">
      <c r="A1873" s="1" t="s">
        <v>287</v>
      </c>
    </row>
    <row r="1874" ht="12.75">
      <c r="A1874" s="9"/>
    </row>
    <row r="1875" ht="12.75">
      <c r="A1875" s="9"/>
    </row>
    <row r="1876" spans="1:4" ht="12.75" customHeight="1">
      <c r="A1876" s="49" t="s">
        <v>288</v>
      </c>
      <c r="B1876" s="49"/>
      <c r="C1876" s="49"/>
      <c r="D1876" s="49"/>
    </row>
    <row r="1877" ht="12.75">
      <c r="A1877" s="10"/>
    </row>
    <row r="1878" ht="12.75">
      <c r="A1878" s="10"/>
    </row>
    <row r="1879" ht="12.75">
      <c r="A1879" s="10"/>
    </row>
    <row r="1880" ht="12.75">
      <c r="A1880" s="1" t="s">
        <v>286</v>
      </c>
    </row>
    <row r="1881" ht="12.75">
      <c r="A1881" s="1" t="s">
        <v>289</v>
      </c>
    </row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spans="1:12" ht="15.75" hidden="1">
      <c r="A1904" s="46"/>
      <c r="B1904" s="46"/>
      <c r="C1904" s="46"/>
      <c r="D1904" s="46"/>
      <c r="E1904" s="46"/>
      <c r="F1904" s="46"/>
      <c r="G1904" s="46"/>
      <c r="H1904" s="46"/>
      <c r="I1904" s="46"/>
      <c r="J1904" s="46"/>
      <c r="K1904" s="46"/>
      <c r="L1904" s="14"/>
    </row>
    <row r="1905" spans="1:12" ht="15.75" hidden="1">
      <c r="A1905" s="46"/>
      <c r="B1905" s="46"/>
      <c r="C1905" s="46"/>
      <c r="D1905" s="46"/>
      <c r="E1905" s="46"/>
      <c r="F1905" s="46"/>
      <c r="G1905" s="46"/>
      <c r="H1905" s="46"/>
      <c r="I1905" s="46"/>
      <c r="J1905" s="46"/>
      <c r="K1905" s="14"/>
      <c r="L1905" s="14"/>
    </row>
    <row r="1906" spans="1:12" ht="15.75" hidden="1">
      <c r="A1906" s="46"/>
      <c r="B1906" s="46"/>
      <c r="C1906" s="46"/>
      <c r="D1906" s="46"/>
      <c r="E1906" s="46"/>
      <c r="F1906" s="46"/>
      <c r="G1906" s="46"/>
      <c r="H1906" s="46"/>
      <c r="I1906" s="46"/>
      <c r="J1906" s="46"/>
      <c r="K1906" s="46"/>
      <c r="L1906" s="46"/>
    </row>
    <row r="1907" spans="1:12" ht="51.75" customHeight="1" hidden="1">
      <c r="A1907" s="47"/>
      <c r="B1907" s="47"/>
      <c r="C1907" s="47"/>
      <c r="D1907" s="47"/>
      <c r="E1907" s="47"/>
      <c r="F1907" s="47"/>
      <c r="G1907" s="47"/>
      <c r="H1907" s="47"/>
      <c r="I1907" s="47"/>
      <c r="J1907" s="47"/>
      <c r="K1907" s="16"/>
      <c r="L1907" s="16"/>
    </row>
    <row r="1908" spans="1:12" ht="12.75" hidden="1">
      <c r="A1908" s="12"/>
      <c r="B1908" s="12"/>
      <c r="C1908" s="12"/>
      <c r="D1908" s="12"/>
      <c r="E1908" s="12"/>
      <c r="F1908" s="12"/>
      <c r="G1908" s="12"/>
      <c r="H1908" s="12"/>
      <c r="I1908" s="12"/>
      <c r="J1908" s="12"/>
      <c r="K1908" s="13"/>
      <c r="L1908" s="13"/>
    </row>
    <row r="1909" spans="1:12" ht="12.75" hidden="1">
      <c r="A1909" s="18"/>
      <c r="B1909" s="48"/>
      <c r="C1909" s="48"/>
      <c r="D1909" s="18"/>
      <c r="K1909" s="13"/>
      <c r="L1909" s="13"/>
    </row>
    <row r="1910" spans="1:4" ht="12.75" hidden="1">
      <c r="A1910" s="18"/>
      <c r="B1910" s="48"/>
      <c r="C1910" s="48"/>
      <c r="D1910" s="18"/>
    </row>
    <row r="1911" spans="1:4" ht="12.75" hidden="1">
      <c r="A1911" s="19"/>
      <c r="B1911" s="19"/>
      <c r="C1911" s="19"/>
      <c r="D1911" s="18"/>
    </row>
    <row r="1912" spans="1:4" ht="12.75" hidden="1">
      <c r="A1912" s="19"/>
      <c r="B1912" s="20"/>
      <c r="C1912" s="19"/>
      <c r="D1912" s="18"/>
    </row>
    <row r="1913" spans="1:4" ht="12.75" hidden="1">
      <c r="A1913" s="19"/>
      <c r="B1913" s="20"/>
      <c r="C1913" s="19"/>
      <c r="D1913" s="18"/>
    </row>
    <row r="1914" spans="1:4" ht="12.75" hidden="1">
      <c r="A1914" s="21"/>
      <c r="B1914" s="20"/>
      <c r="C1914" s="19"/>
      <c r="D1914" s="18"/>
    </row>
    <row r="1915" spans="1:4" ht="12.75" hidden="1">
      <c r="A1915" s="21"/>
      <c r="B1915" s="20"/>
      <c r="C1915" s="19"/>
      <c r="D1915" s="18"/>
    </row>
    <row r="1916" spans="1:4" ht="12.75" hidden="1">
      <c r="A1916" s="21"/>
      <c r="B1916" s="20"/>
      <c r="C1916" s="19"/>
      <c r="D1916" s="18"/>
    </row>
    <row r="1917" spans="1:4" ht="12.75" hidden="1">
      <c r="A1917" s="21"/>
      <c r="B1917" s="20"/>
      <c r="C1917" s="19"/>
      <c r="D1917" s="18"/>
    </row>
    <row r="1918" spans="1:4" ht="12.75" hidden="1">
      <c r="A1918" s="19"/>
      <c r="B1918" s="19"/>
      <c r="C1918" s="19"/>
      <c r="D1918" s="18"/>
    </row>
    <row r="1919" spans="1:4" ht="12.75" hidden="1">
      <c r="A1919" s="19"/>
      <c r="B1919" s="20"/>
      <c r="C1919" s="19"/>
      <c r="D1919" s="18"/>
    </row>
    <row r="1920" spans="1:4" ht="12.75" hidden="1">
      <c r="A1920" s="19"/>
      <c r="B1920" s="19"/>
      <c r="C1920" s="19"/>
      <c r="D1920" s="18"/>
    </row>
    <row r="1921" spans="1:4" ht="12.75" hidden="1">
      <c r="A1921" s="19"/>
      <c r="B1921" s="19"/>
      <c r="C1921" s="19"/>
      <c r="D1921" s="18"/>
    </row>
    <row r="1922" ht="12.75" hidden="1">
      <c r="A1922" s="1"/>
    </row>
    <row r="1923" ht="12.75" hidden="1">
      <c r="A1923" s="1"/>
    </row>
    <row r="1924" ht="12.75" hidden="1">
      <c r="A1924" s="1"/>
    </row>
    <row r="1925" ht="12.75" hidden="1">
      <c r="A1925" s="1"/>
    </row>
    <row r="1926" ht="12.75" hidden="1">
      <c r="A1926" s="1"/>
    </row>
    <row r="1927" ht="12.75" hidden="1">
      <c r="A1927" s="1"/>
    </row>
    <row r="1928" ht="12.75" hidden="1">
      <c r="A1928" s="1"/>
    </row>
    <row r="1929" ht="12.75" hidden="1">
      <c r="A1929" s="1"/>
    </row>
    <row r="1930" ht="12.75" hidden="1">
      <c r="A1930" s="9"/>
    </row>
    <row r="1931" ht="12.75" hidden="1">
      <c r="A1931" s="9"/>
    </row>
    <row r="1932" spans="1:4" ht="37.5" customHeight="1" hidden="1">
      <c r="A1932" s="49"/>
      <c r="B1932" s="49"/>
      <c r="C1932" s="49"/>
      <c r="D1932" s="49"/>
    </row>
    <row r="1933" ht="12.75" hidden="1">
      <c r="A1933" s="10"/>
    </row>
    <row r="1934" ht="12.75" hidden="1">
      <c r="A1934" s="10"/>
    </row>
    <row r="1935" ht="12.75" hidden="1">
      <c r="A1935" s="10"/>
    </row>
    <row r="1936" ht="12.75" hidden="1">
      <c r="A1936" s="1"/>
    </row>
    <row r="1937" ht="12.75" hidden="1">
      <c r="A1937" s="1"/>
    </row>
    <row r="1938" ht="12.75" hidden="1">
      <c r="A1938" s="11"/>
    </row>
    <row r="1939" ht="12.75" hidden="1"/>
    <row r="1940" ht="14.25" customHeight="1"/>
    <row r="1941" spans="1:12" ht="15.75">
      <c r="A1941" s="46" t="s">
        <v>262</v>
      </c>
      <c r="B1941" s="46"/>
      <c r="C1941" s="46"/>
      <c r="D1941" s="46"/>
      <c r="E1941" s="46"/>
      <c r="F1941" s="46"/>
      <c r="G1941" s="46"/>
      <c r="H1941" s="46"/>
      <c r="I1941" s="46"/>
      <c r="J1941" s="46"/>
      <c r="K1941" s="46"/>
      <c r="L1941" s="14"/>
    </row>
    <row r="1942" spans="1:12" ht="15.75">
      <c r="A1942" s="46" t="s">
        <v>291</v>
      </c>
      <c r="B1942" s="46"/>
      <c r="C1942" s="46"/>
      <c r="D1942" s="46"/>
      <c r="E1942" s="46"/>
      <c r="F1942" s="46"/>
      <c r="G1942" s="46"/>
      <c r="H1942" s="46"/>
      <c r="I1942" s="46"/>
      <c r="J1942" s="46"/>
      <c r="K1942" s="14"/>
      <c r="L1942" s="14"/>
    </row>
    <row r="1943" spans="1:12" ht="15.75">
      <c r="A1943" s="46" t="s">
        <v>339</v>
      </c>
      <c r="B1943" s="46"/>
      <c r="C1943" s="46"/>
      <c r="D1943" s="46"/>
      <c r="E1943" s="46"/>
      <c r="F1943" s="46"/>
      <c r="G1943" s="46"/>
      <c r="H1943" s="46"/>
      <c r="I1943" s="46"/>
      <c r="J1943" s="46"/>
      <c r="K1943" s="46"/>
      <c r="L1943" s="46"/>
    </row>
    <row r="1944" spans="1:12" ht="53.25" customHeight="1">
      <c r="A1944" s="47" t="s">
        <v>290</v>
      </c>
      <c r="B1944" s="47"/>
      <c r="C1944" s="47"/>
      <c r="D1944" s="47"/>
      <c r="E1944" s="47"/>
      <c r="F1944" s="47"/>
      <c r="G1944" s="47"/>
      <c r="H1944" s="47"/>
      <c r="I1944" s="47"/>
      <c r="J1944" s="47"/>
      <c r="K1944" s="16"/>
      <c r="L1944" s="16"/>
    </row>
    <row r="1945" spans="1:12" ht="12.75">
      <c r="A1945" s="12"/>
      <c r="B1945" s="12"/>
      <c r="C1945" s="12"/>
      <c r="D1945" s="12"/>
      <c r="E1945" s="12"/>
      <c r="F1945" s="12"/>
      <c r="G1945" s="12"/>
      <c r="H1945" s="12"/>
      <c r="I1945" s="12"/>
      <c r="J1945" s="12"/>
      <c r="K1945" s="13"/>
      <c r="L1945" s="13"/>
    </row>
    <row r="1946" spans="1:12" ht="12.75">
      <c r="A1946" s="18" t="s">
        <v>264</v>
      </c>
      <c r="B1946" s="48" t="s">
        <v>266</v>
      </c>
      <c r="C1946" s="48" t="s">
        <v>267</v>
      </c>
      <c r="D1946" s="18" t="s">
        <v>268</v>
      </c>
      <c r="K1946" s="13"/>
      <c r="L1946" s="13"/>
    </row>
    <row r="1947" spans="1:4" ht="12.75">
      <c r="A1947" s="18" t="s">
        <v>265</v>
      </c>
      <c r="B1947" s="48"/>
      <c r="C1947" s="48"/>
      <c r="D1947" s="18" t="s">
        <v>269</v>
      </c>
    </row>
    <row r="1948" spans="1:4" ht="38.25">
      <c r="A1948" s="19" t="s">
        <v>270</v>
      </c>
      <c r="B1948" s="19" t="s">
        <v>271</v>
      </c>
      <c r="C1948" s="19"/>
      <c r="D1948" s="18">
        <f>D1949+D1950+D1951+D1952+D1953+D1954+D1955</f>
        <v>104518.69</v>
      </c>
    </row>
    <row r="1949" spans="1:4" ht="38.25">
      <c r="A1949" s="19" t="s">
        <v>19</v>
      </c>
      <c r="B1949" s="20" t="s">
        <v>272</v>
      </c>
      <c r="C1949" s="19"/>
      <c r="D1949" s="18">
        <f>1074.29+1051.39</f>
        <v>2125.6800000000003</v>
      </c>
    </row>
    <row r="1950" spans="1:4" ht="38.25">
      <c r="A1950" s="19" t="s">
        <v>20</v>
      </c>
      <c r="B1950" s="20" t="s">
        <v>273</v>
      </c>
      <c r="C1950" s="19"/>
      <c r="D1950" s="18">
        <f>30000.53+2143.24</f>
        <v>32143.769999999997</v>
      </c>
    </row>
    <row r="1951" spans="1:4" ht="38.25">
      <c r="A1951" s="21" t="s">
        <v>293</v>
      </c>
      <c r="B1951" s="20" t="s">
        <v>274</v>
      </c>
      <c r="C1951" s="19"/>
      <c r="D1951" s="18"/>
    </row>
    <row r="1952" spans="1:4" ht="38.25">
      <c r="A1952" s="21" t="s">
        <v>292</v>
      </c>
      <c r="B1952" s="20" t="s">
        <v>275</v>
      </c>
      <c r="C1952" s="19"/>
      <c r="D1952" s="18">
        <f>2931.53</f>
        <v>2931.53</v>
      </c>
    </row>
    <row r="1953" spans="1:4" ht="38.25">
      <c r="A1953" s="21" t="s">
        <v>294</v>
      </c>
      <c r="B1953" s="20" t="s">
        <v>276</v>
      </c>
      <c r="C1953" s="19"/>
      <c r="D1953" s="18"/>
    </row>
    <row r="1954" spans="1:4" ht="25.5">
      <c r="A1954" s="21" t="s">
        <v>295</v>
      </c>
      <c r="B1954" s="20" t="s">
        <v>277</v>
      </c>
      <c r="C1954" s="19"/>
      <c r="D1954" s="18"/>
    </row>
    <row r="1955" spans="1:4" ht="51">
      <c r="A1955" s="21" t="s">
        <v>426</v>
      </c>
      <c r="B1955" s="20" t="s">
        <v>427</v>
      </c>
      <c r="C1955" s="19"/>
      <c r="D1955" s="18">
        <v>67317.71</v>
      </c>
    </row>
    <row r="1956" spans="1:4" ht="12.75">
      <c r="A1956" s="19" t="s">
        <v>278</v>
      </c>
      <c r="B1956" s="19" t="s">
        <v>279</v>
      </c>
      <c r="C1956" s="19"/>
      <c r="D1956" s="18">
        <f>D1957</f>
        <v>0</v>
      </c>
    </row>
    <row r="1957" spans="1:4" ht="12.75">
      <c r="A1957" s="19" t="s">
        <v>280</v>
      </c>
      <c r="B1957" s="19"/>
      <c r="C1957" s="19"/>
      <c r="D1957" s="18"/>
    </row>
    <row r="1958" spans="1:4" ht="12.75">
      <c r="A1958" s="19" t="s">
        <v>281</v>
      </c>
      <c r="B1958" s="19"/>
      <c r="C1958" s="19"/>
      <c r="D1958" s="18"/>
    </row>
    <row r="1959" spans="1:4" ht="12.75">
      <c r="A1959" s="19" t="s">
        <v>282</v>
      </c>
      <c r="B1959" s="19"/>
      <c r="C1959" s="19"/>
      <c r="D1959" s="18"/>
    </row>
    <row r="1960" ht="12.75">
      <c r="A1960" s="1"/>
    </row>
    <row r="1961" ht="12.75">
      <c r="A1961" s="1" t="s">
        <v>283</v>
      </c>
    </row>
    <row r="1962" spans="1:3" ht="12.75">
      <c r="A1962" s="1" t="s">
        <v>284</v>
      </c>
      <c r="C1962" t="s">
        <v>291</v>
      </c>
    </row>
    <row r="1963" ht="12.75">
      <c r="A1963" s="1"/>
    </row>
    <row r="1964" ht="12.75">
      <c r="A1964" s="1" t="s">
        <v>285</v>
      </c>
    </row>
    <row r="1965" ht="12.75">
      <c r="A1965" s="1"/>
    </row>
    <row r="1966" ht="12.75">
      <c r="A1966" s="1" t="s">
        <v>396</v>
      </c>
    </row>
    <row r="1967" ht="12.75">
      <c r="A1967" s="1" t="s">
        <v>287</v>
      </c>
    </row>
    <row r="1968" ht="2.25" customHeight="1">
      <c r="A1968" s="9"/>
    </row>
    <row r="1969" ht="4.5" customHeight="1">
      <c r="A1969" s="9"/>
    </row>
    <row r="1970" spans="1:4" ht="51.75" customHeight="1">
      <c r="A1970" s="49" t="s">
        <v>288</v>
      </c>
      <c r="B1970" s="49"/>
      <c r="C1970" s="49"/>
      <c r="D1970" s="49"/>
    </row>
    <row r="1971" ht="2.25" customHeight="1" hidden="1">
      <c r="A1971" s="10"/>
    </row>
    <row r="1972" ht="20.25" customHeight="1" hidden="1">
      <c r="A1972" s="10"/>
    </row>
    <row r="1973" ht="12.75" hidden="1">
      <c r="A1973" s="10"/>
    </row>
    <row r="1974" ht="12.75" hidden="1">
      <c r="A1974" s="1" t="s">
        <v>286</v>
      </c>
    </row>
    <row r="1975" ht="12.75" hidden="1">
      <c r="A1975" s="1" t="s">
        <v>289</v>
      </c>
    </row>
    <row r="1976" ht="12.75">
      <c r="A1976" s="11"/>
    </row>
    <row r="1977" ht="12.75" hidden="1"/>
    <row r="1978" ht="30" customHeight="1"/>
    <row r="1979" spans="1:12" ht="15.75">
      <c r="A1979" s="46" t="s">
        <v>262</v>
      </c>
      <c r="B1979" s="46"/>
      <c r="C1979" s="46"/>
      <c r="D1979" s="46"/>
      <c r="E1979" s="46"/>
      <c r="F1979" s="46"/>
      <c r="G1979" s="46"/>
      <c r="H1979" s="46"/>
      <c r="I1979" s="46"/>
      <c r="J1979" s="46"/>
      <c r="K1979" s="46"/>
      <c r="L1979" s="14"/>
    </row>
    <row r="1980" spans="1:12" ht="15.75">
      <c r="A1980" s="46" t="s">
        <v>291</v>
      </c>
      <c r="B1980" s="46"/>
      <c r="C1980" s="46"/>
      <c r="D1980" s="46"/>
      <c r="E1980" s="46"/>
      <c r="F1980" s="46"/>
      <c r="G1980" s="46"/>
      <c r="H1980" s="46"/>
      <c r="I1980" s="46"/>
      <c r="J1980" s="46"/>
      <c r="K1980" s="14"/>
      <c r="L1980" s="14"/>
    </row>
    <row r="1981" spans="1:12" ht="15.75">
      <c r="A1981" s="46" t="s">
        <v>340</v>
      </c>
      <c r="B1981" s="46"/>
      <c r="C1981" s="46"/>
      <c r="D1981" s="46"/>
      <c r="E1981" s="46"/>
      <c r="F1981" s="46"/>
      <c r="G1981" s="46"/>
      <c r="H1981" s="46"/>
      <c r="I1981" s="46"/>
      <c r="J1981" s="46"/>
      <c r="K1981" s="46"/>
      <c r="L1981" s="46"/>
    </row>
    <row r="1982" spans="1:12" ht="53.25" customHeight="1">
      <c r="A1982" s="47" t="s">
        <v>290</v>
      </c>
      <c r="B1982" s="47"/>
      <c r="C1982" s="47"/>
      <c r="D1982" s="47"/>
      <c r="E1982" s="47"/>
      <c r="F1982" s="47"/>
      <c r="G1982" s="47"/>
      <c r="H1982" s="47"/>
      <c r="I1982" s="47"/>
      <c r="J1982" s="47"/>
      <c r="K1982" s="16"/>
      <c r="L1982" s="16"/>
    </row>
    <row r="1983" spans="1:12" ht="12.75">
      <c r="A1983" s="12"/>
      <c r="B1983" s="12"/>
      <c r="C1983" s="12"/>
      <c r="D1983" s="12"/>
      <c r="E1983" s="12"/>
      <c r="F1983" s="12"/>
      <c r="G1983" s="12"/>
      <c r="H1983" s="12"/>
      <c r="I1983" s="12"/>
      <c r="J1983" s="12"/>
      <c r="K1983" s="13"/>
      <c r="L1983" s="13"/>
    </row>
    <row r="1984" spans="1:12" ht="12.75">
      <c r="A1984" s="18" t="s">
        <v>264</v>
      </c>
      <c r="B1984" s="48" t="s">
        <v>266</v>
      </c>
      <c r="C1984" s="48" t="s">
        <v>267</v>
      </c>
      <c r="D1984" s="18" t="s">
        <v>268</v>
      </c>
      <c r="K1984" s="13"/>
      <c r="L1984" s="13"/>
    </row>
    <row r="1985" spans="1:4" ht="12.75">
      <c r="A1985" s="18" t="s">
        <v>265</v>
      </c>
      <c r="B1985" s="48"/>
      <c r="C1985" s="48"/>
      <c r="D1985" s="18" t="s">
        <v>269</v>
      </c>
    </row>
    <row r="1986" spans="1:4" ht="38.25">
      <c r="A1986" s="19" t="s">
        <v>270</v>
      </c>
      <c r="B1986" s="19" t="s">
        <v>271</v>
      </c>
      <c r="C1986" s="19"/>
      <c r="D1986" s="18">
        <f>D1987+D1988+D1989+D1990+D1991+D1992</f>
        <v>62224.060000000005</v>
      </c>
    </row>
    <row r="1987" spans="1:4" ht="38.25">
      <c r="A1987" s="19" t="s">
        <v>19</v>
      </c>
      <c r="B1987" s="20" t="s">
        <v>272</v>
      </c>
      <c r="C1987" s="19"/>
      <c r="D1987" s="18"/>
    </row>
    <row r="1988" spans="1:4" ht="38.25">
      <c r="A1988" s="19" t="s">
        <v>20</v>
      </c>
      <c r="B1988" s="20" t="s">
        <v>273</v>
      </c>
      <c r="C1988" s="19"/>
      <c r="D1988" s="18">
        <f>4988.97+54430.26</f>
        <v>59419.23</v>
      </c>
    </row>
    <row r="1989" spans="1:4" ht="38.25">
      <c r="A1989" s="21" t="s">
        <v>293</v>
      </c>
      <c r="B1989" s="20" t="s">
        <v>274</v>
      </c>
      <c r="C1989" s="19"/>
      <c r="D1989" s="18"/>
    </row>
    <row r="1990" spans="1:4" ht="38.25">
      <c r="A1990" s="21" t="s">
        <v>292</v>
      </c>
      <c r="B1990" s="20" t="s">
        <v>275</v>
      </c>
      <c r="C1990" s="19"/>
      <c r="D1990" s="18">
        <f>464+2340.83</f>
        <v>2804.83</v>
      </c>
    </row>
    <row r="1991" spans="1:4" ht="38.25">
      <c r="A1991" s="21" t="s">
        <v>294</v>
      </c>
      <c r="B1991" s="20" t="s">
        <v>276</v>
      </c>
      <c r="C1991" s="19"/>
      <c r="D1991" s="18"/>
    </row>
    <row r="1992" spans="1:4" ht="25.5">
      <c r="A1992" s="21" t="s">
        <v>295</v>
      </c>
      <c r="B1992" s="20" t="s">
        <v>277</v>
      </c>
      <c r="C1992" s="19"/>
      <c r="D1992" s="18"/>
    </row>
    <row r="1993" spans="1:4" ht="12.75">
      <c r="A1993" s="19" t="s">
        <v>278</v>
      </c>
      <c r="B1993" s="19" t="s">
        <v>279</v>
      </c>
      <c r="C1993" s="19"/>
      <c r="D1993" s="18">
        <f>D1994</f>
        <v>0</v>
      </c>
    </row>
    <row r="1994" spans="1:4" ht="12.75">
      <c r="A1994" s="19" t="s">
        <v>280</v>
      </c>
      <c r="B1994" s="19"/>
      <c r="C1994" s="19"/>
      <c r="D1994" s="18"/>
    </row>
    <row r="1995" spans="1:4" ht="12.75">
      <c r="A1995" s="19" t="s">
        <v>281</v>
      </c>
      <c r="B1995" s="19"/>
      <c r="C1995" s="19"/>
      <c r="D1995" s="18"/>
    </row>
    <row r="1996" spans="1:4" ht="12.75">
      <c r="A1996" s="19" t="s">
        <v>282</v>
      </c>
      <c r="B1996" s="19"/>
      <c r="C1996" s="19"/>
      <c r="D1996" s="18"/>
    </row>
    <row r="1997" ht="12.75">
      <c r="A1997" s="1"/>
    </row>
    <row r="1998" ht="12.75">
      <c r="A1998" s="1" t="s">
        <v>283</v>
      </c>
    </row>
    <row r="1999" spans="1:3" ht="12.75">
      <c r="A1999" s="1" t="s">
        <v>284</v>
      </c>
      <c r="C1999" t="s">
        <v>291</v>
      </c>
    </row>
    <row r="2000" ht="12.75">
      <c r="A2000" s="1"/>
    </row>
    <row r="2001" ht="12.75">
      <c r="A2001" s="1" t="s">
        <v>285</v>
      </c>
    </row>
    <row r="2002" ht="12.75">
      <c r="A2002" s="1"/>
    </row>
    <row r="2003" ht="12.75">
      <c r="A2003" s="1" t="s">
        <v>396</v>
      </c>
    </row>
    <row r="2004" ht="12.75">
      <c r="A2004" s="1" t="s">
        <v>287</v>
      </c>
    </row>
    <row r="2005" ht="12.75">
      <c r="A2005" s="9"/>
    </row>
    <row r="2006" ht="12.75">
      <c r="A2006" s="9"/>
    </row>
    <row r="2007" spans="1:4" ht="38.25" customHeight="1">
      <c r="A2007" s="49" t="s">
        <v>288</v>
      </c>
      <c r="B2007" s="49"/>
      <c r="C2007" s="49"/>
      <c r="D2007" s="49"/>
    </row>
    <row r="2008" ht="12.75">
      <c r="A2008" s="10"/>
    </row>
    <row r="2009" ht="12.75">
      <c r="A2009" s="10"/>
    </row>
    <row r="2010" ht="12.75">
      <c r="A2010" s="10"/>
    </row>
    <row r="2011" ht="12.75">
      <c r="A2011" s="1" t="s">
        <v>286</v>
      </c>
    </row>
    <row r="2012" ht="12.75">
      <c r="A2012" s="1" t="s">
        <v>289</v>
      </c>
    </row>
    <row r="2013" ht="12.75">
      <c r="A2013" s="11"/>
    </row>
    <row r="2014" ht="0.75" customHeight="1"/>
    <row r="2015" ht="27.75" customHeight="1"/>
    <row r="2016" spans="1:12" ht="15.75">
      <c r="A2016" s="46" t="s">
        <v>262</v>
      </c>
      <c r="B2016" s="46"/>
      <c r="C2016" s="46"/>
      <c r="D2016" s="46"/>
      <c r="E2016" s="46"/>
      <c r="F2016" s="46"/>
      <c r="G2016" s="46"/>
      <c r="H2016" s="46"/>
      <c r="I2016" s="46"/>
      <c r="J2016" s="46"/>
      <c r="K2016" s="46"/>
      <c r="L2016" s="14"/>
    </row>
    <row r="2017" spans="1:12" ht="15.75">
      <c r="A2017" s="46" t="s">
        <v>291</v>
      </c>
      <c r="B2017" s="46"/>
      <c r="C2017" s="46"/>
      <c r="D2017" s="46"/>
      <c r="E2017" s="46"/>
      <c r="F2017" s="46"/>
      <c r="G2017" s="46"/>
      <c r="H2017" s="46"/>
      <c r="I2017" s="46"/>
      <c r="J2017" s="46"/>
      <c r="K2017" s="14"/>
      <c r="L2017" s="14"/>
    </row>
    <row r="2018" spans="1:12" ht="15.75">
      <c r="A2018" s="46" t="s">
        <v>341</v>
      </c>
      <c r="B2018" s="46"/>
      <c r="C2018" s="46"/>
      <c r="D2018" s="46"/>
      <c r="E2018" s="46"/>
      <c r="F2018" s="46"/>
      <c r="G2018" s="46"/>
      <c r="H2018" s="46"/>
      <c r="I2018" s="46"/>
      <c r="J2018" s="46"/>
      <c r="K2018" s="46"/>
      <c r="L2018" s="46"/>
    </row>
    <row r="2019" spans="1:12" ht="54" customHeight="1">
      <c r="A2019" s="47" t="s">
        <v>290</v>
      </c>
      <c r="B2019" s="47"/>
      <c r="C2019" s="47"/>
      <c r="D2019" s="47"/>
      <c r="E2019" s="47"/>
      <c r="F2019" s="47"/>
      <c r="G2019" s="47"/>
      <c r="H2019" s="47"/>
      <c r="I2019" s="47"/>
      <c r="J2019" s="47"/>
      <c r="K2019" s="16"/>
      <c r="L2019" s="16"/>
    </row>
    <row r="2020" spans="1:12" ht="12.75">
      <c r="A2020" s="12"/>
      <c r="B2020" s="12"/>
      <c r="C2020" s="12"/>
      <c r="D2020" s="12"/>
      <c r="E2020" s="12"/>
      <c r="F2020" s="12"/>
      <c r="G2020" s="12"/>
      <c r="H2020" s="12"/>
      <c r="I2020" s="12"/>
      <c r="J2020" s="12"/>
      <c r="K2020" s="13"/>
      <c r="L2020" s="13"/>
    </row>
    <row r="2021" spans="1:12" ht="12.75">
      <c r="A2021" s="18" t="s">
        <v>264</v>
      </c>
      <c r="B2021" s="48" t="s">
        <v>266</v>
      </c>
      <c r="C2021" s="48" t="s">
        <v>267</v>
      </c>
      <c r="D2021" s="18" t="s">
        <v>268</v>
      </c>
      <c r="K2021" s="13"/>
      <c r="L2021" s="13"/>
    </row>
    <row r="2022" spans="1:4" ht="12.75">
      <c r="A2022" s="18" t="s">
        <v>265</v>
      </c>
      <c r="B2022" s="48"/>
      <c r="C2022" s="48"/>
      <c r="D2022" s="18" t="s">
        <v>269</v>
      </c>
    </row>
    <row r="2023" spans="1:4" ht="38.25">
      <c r="A2023" s="19" t="s">
        <v>270</v>
      </c>
      <c r="B2023" s="19" t="s">
        <v>271</v>
      </c>
      <c r="C2023" s="19"/>
      <c r="D2023" s="18">
        <f>D2024+D2025+D2026+D2027+D2028+D2029</f>
        <v>27190.61</v>
      </c>
    </row>
    <row r="2024" spans="1:4" ht="38.25">
      <c r="A2024" s="19" t="s">
        <v>19</v>
      </c>
      <c r="B2024" s="20" t="s">
        <v>272</v>
      </c>
      <c r="C2024" s="19"/>
      <c r="D2024" s="18">
        <v>1155.03</v>
      </c>
    </row>
    <row r="2025" spans="1:4" ht="38.25">
      <c r="A2025" s="19" t="s">
        <v>20</v>
      </c>
      <c r="B2025" s="20" t="s">
        <v>273</v>
      </c>
      <c r="C2025" s="19"/>
      <c r="D2025" s="18">
        <v>26035.58</v>
      </c>
    </row>
    <row r="2026" spans="1:4" ht="38.25">
      <c r="A2026" s="21" t="s">
        <v>293</v>
      </c>
      <c r="B2026" s="20" t="s">
        <v>274</v>
      </c>
      <c r="C2026" s="19"/>
      <c r="D2026" s="18"/>
    </row>
    <row r="2027" spans="1:4" ht="38.25">
      <c r="A2027" s="21" t="s">
        <v>292</v>
      </c>
      <c r="B2027" s="20" t="s">
        <v>275</v>
      </c>
      <c r="C2027" s="19"/>
      <c r="D2027" s="18"/>
    </row>
    <row r="2028" spans="1:4" ht="38.25">
      <c r="A2028" s="21" t="s">
        <v>294</v>
      </c>
      <c r="B2028" s="20" t="s">
        <v>276</v>
      </c>
      <c r="C2028" s="19"/>
      <c r="D2028" s="18"/>
    </row>
    <row r="2029" spans="1:4" ht="25.5">
      <c r="A2029" s="21" t="s">
        <v>295</v>
      </c>
      <c r="B2029" s="20" t="s">
        <v>277</v>
      </c>
      <c r="C2029" s="19"/>
      <c r="D2029" s="18"/>
    </row>
    <row r="2030" spans="1:4" ht="12.75">
      <c r="A2030" s="19" t="s">
        <v>278</v>
      </c>
      <c r="B2030" s="19" t="s">
        <v>279</v>
      </c>
      <c r="C2030" s="19"/>
      <c r="D2030" s="18">
        <f>D2031</f>
        <v>0</v>
      </c>
    </row>
    <row r="2031" spans="1:4" ht="12.75">
      <c r="A2031" s="19" t="s">
        <v>280</v>
      </c>
      <c r="B2031" s="19"/>
      <c r="C2031" s="19"/>
      <c r="D2031" s="18"/>
    </row>
    <row r="2032" spans="1:4" ht="12.75">
      <c r="A2032" s="19" t="s">
        <v>281</v>
      </c>
      <c r="B2032" s="19"/>
      <c r="C2032" s="19"/>
      <c r="D2032" s="18"/>
    </row>
    <row r="2033" spans="1:4" ht="12.75">
      <c r="A2033" s="19" t="s">
        <v>282</v>
      </c>
      <c r="B2033" s="19"/>
      <c r="C2033" s="19"/>
      <c r="D2033" s="18"/>
    </row>
    <row r="2034" ht="12.75">
      <c r="A2034" s="1"/>
    </row>
    <row r="2035" ht="12.75">
      <c r="A2035" s="1" t="s">
        <v>283</v>
      </c>
    </row>
    <row r="2036" spans="1:3" ht="12.75">
      <c r="A2036" s="1" t="s">
        <v>284</v>
      </c>
      <c r="C2036" t="s">
        <v>291</v>
      </c>
    </row>
    <row r="2037" ht="12.75">
      <c r="A2037" s="1"/>
    </row>
    <row r="2038" ht="12.75">
      <c r="A2038" s="1" t="s">
        <v>285</v>
      </c>
    </row>
    <row r="2039" ht="12.75">
      <c r="A2039" s="1"/>
    </row>
    <row r="2040" ht="12.75">
      <c r="A2040" s="1" t="s">
        <v>396</v>
      </c>
    </row>
    <row r="2041" ht="12.75">
      <c r="A2041" s="1" t="s">
        <v>287</v>
      </c>
    </row>
    <row r="2042" ht="12.75">
      <c r="A2042" s="9"/>
    </row>
    <row r="2043" ht="12.75">
      <c r="A2043" s="9"/>
    </row>
    <row r="2044" spans="1:4" ht="37.5" customHeight="1">
      <c r="A2044" s="49" t="s">
        <v>288</v>
      </c>
      <c r="B2044" s="49"/>
      <c r="C2044" s="49"/>
      <c r="D2044" s="49"/>
    </row>
    <row r="2045" ht="12.75">
      <c r="A2045" s="10"/>
    </row>
    <row r="2046" ht="12.75">
      <c r="A2046" s="10"/>
    </row>
    <row r="2047" ht="12.75">
      <c r="A2047" s="10"/>
    </row>
    <row r="2048" ht="12.75">
      <c r="A2048" s="1" t="s">
        <v>286</v>
      </c>
    </row>
    <row r="2049" ht="12.75">
      <c r="A2049" s="1" t="s">
        <v>289</v>
      </c>
    </row>
    <row r="2050" ht="12.75">
      <c r="A2050" s="11"/>
    </row>
    <row r="2051" ht="0.75" customHeight="1"/>
    <row r="2052" ht="17.25" customHeight="1"/>
    <row r="2053" spans="1:12" ht="15.75">
      <c r="A2053" s="46" t="s">
        <v>262</v>
      </c>
      <c r="B2053" s="46"/>
      <c r="C2053" s="46"/>
      <c r="D2053" s="46"/>
      <c r="E2053" s="46"/>
      <c r="F2053" s="46"/>
      <c r="G2053" s="46"/>
      <c r="H2053" s="46"/>
      <c r="I2053" s="46"/>
      <c r="J2053" s="46"/>
      <c r="K2053" s="46"/>
      <c r="L2053" s="14"/>
    </row>
    <row r="2054" spans="1:12" ht="15.75">
      <c r="A2054" s="46" t="s">
        <v>291</v>
      </c>
      <c r="B2054" s="46"/>
      <c r="C2054" s="46"/>
      <c r="D2054" s="46"/>
      <c r="E2054" s="46"/>
      <c r="F2054" s="46"/>
      <c r="G2054" s="46"/>
      <c r="H2054" s="46"/>
      <c r="I2054" s="46"/>
      <c r="J2054" s="46"/>
      <c r="K2054" s="14"/>
      <c r="L2054" s="14"/>
    </row>
    <row r="2055" spans="1:12" ht="15.75">
      <c r="A2055" s="46" t="s">
        <v>342</v>
      </c>
      <c r="B2055" s="46"/>
      <c r="C2055" s="46"/>
      <c r="D2055" s="46"/>
      <c r="E2055" s="46"/>
      <c r="F2055" s="46"/>
      <c r="G2055" s="46"/>
      <c r="H2055" s="46"/>
      <c r="I2055" s="46"/>
      <c r="J2055" s="46"/>
      <c r="K2055" s="46"/>
      <c r="L2055" s="46"/>
    </row>
    <row r="2056" spans="1:12" ht="53.25" customHeight="1">
      <c r="A2056" s="47" t="s">
        <v>290</v>
      </c>
      <c r="B2056" s="47"/>
      <c r="C2056" s="47"/>
      <c r="D2056" s="47"/>
      <c r="E2056" s="47"/>
      <c r="F2056" s="47"/>
      <c r="G2056" s="47"/>
      <c r="H2056" s="47"/>
      <c r="I2056" s="47"/>
      <c r="J2056" s="47"/>
      <c r="K2056" s="16"/>
      <c r="L2056" s="16"/>
    </row>
    <row r="2057" spans="1:12" ht="12.75">
      <c r="A2057" s="12"/>
      <c r="B2057" s="12"/>
      <c r="C2057" s="12"/>
      <c r="D2057" s="12"/>
      <c r="E2057" s="12"/>
      <c r="F2057" s="12"/>
      <c r="G2057" s="12"/>
      <c r="H2057" s="12"/>
      <c r="I2057" s="12"/>
      <c r="J2057" s="12"/>
      <c r="K2057" s="13"/>
      <c r="L2057" s="13"/>
    </row>
    <row r="2058" spans="1:12" ht="12.75">
      <c r="A2058" s="18" t="s">
        <v>264</v>
      </c>
      <c r="B2058" s="48" t="s">
        <v>266</v>
      </c>
      <c r="C2058" s="48" t="s">
        <v>267</v>
      </c>
      <c r="D2058" s="18" t="s">
        <v>268</v>
      </c>
      <c r="K2058" s="13"/>
      <c r="L2058" s="13"/>
    </row>
    <row r="2059" spans="1:4" ht="12.75">
      <c r="A2059" s="18" t="s">
        <v>265</v>
      </c>
      <c r="B2059" s="48"/>
      <c r="C2059" s="48"/>
      <c r="D2059" s="18" t="s">
        <v>269</v>
      </c>
    </row>
    <row r="2060" spans="1:4" ht="38.25">
      <c r="A2060" s="19" t="s">
        <v>270</v>
      </c>
      <c r="B2060" s="19" t="s">
        <v>271</v>
      </c>
      <c r="C2060" s="19"/>
      <c r="D2060" s="18">
        <f>D2061+D2062+D2063+D2064+D2065+D2066</f>
        <v>82018.44</v>
      </c>
    </row>
    <row r="2061" spans="1:4" ht="38.25">
      <c r="A2061" s="19" t="s">
        <v>19</v>
      </c>
      <c r="B2061" s="20" t="s">
        <v>272</v>
      </c>
      <c r="C2061" s="19"/>
      <c r="D2061" s="18">
        <f>8595.69</f>
        <v>8595.69</v>
      </c>
    </row>
    <row r="2062" spans="1:4" ht="38.25">
      <c r="A2062" s="19" t="s">
        <v>20</v>
      </c>
      <c r="B2062" s="20" t="s">
        <v>273</v>
      </c>
      <c r="C2062" s="19"/>
      <c r="D2062" s="18">
        <f>14838+458.94+36938.33</f>
        <v>52235.270000000004</v>
      </c>
    </row>
    <row r="2063" spans="1:4" ht="38.25">
      <c r="A2063" s="21" t="s">
        <v>293</v>
      </c>
      <c r="B2063" s="20" t="s">
        <v>274</v>
      </c>
      <c r="C2063" s="19"/>
      <c r="D2063" s="18">
        <f>11277.76+3909.15+1483.72+456.56+1368</f>
        <v>18495.190000000002</v>
      </c>
    </row>
    <row r="2064" spans="1:4" ht="38.25">
      <c r="A2064" s="21" t="s">
        <v>292</v>
      </c>
      <c r="B2064" s="20" t="s">
        <v>275</v>
      </c>
      <c r="C2064" s="19"/>
      <c r="D2064" s="18">
        <f>1483.73+456.56</f>
        <v>1940.29</v>
      </c>
    </row>
    <row r="2065" spans="1:4" ht="38.25">
      <c r="A2065" s="21" t="s">
        <v>294</v>
      </c>
      <c r="B2065" s="20" t="s">
        <v>276</v>
      </c>
      <c r="C2065" s="19"/>
      <c r="D2065" s="18"/>
    </row>
    <row r="2066" spans="1:4" ht="25.5">
      <c r="A2066" s="21" t="s">
        <v>295</v>
      </c>
      <c r="B2066" s="20" t="s">
        <v>277</v>
      </c>
      <c r="C2066" s="19"/>
      <c r="D2066" s="18">
        <f>752</f>
        <v>752</v>
      </c>
    </row>
    <row r="2067" spans="1:4" ht="12.75">
      <c r="A2067" s="19" t="s">
        <v>278</v>
      </c>
      <c r="B2067" s="19" t="s">
        <v>279</v>
      </c>
      <c r="C2067" s="19"/>
      <c r="D2067" s="18">
        <f>D2068</f>
        <v>101752.69</v>
      </c>
    </row>
    <row r="2068" spans="1:4" ht="38.25">
      <c r="A2068" s="19" t="s">
        <v>280</v>
      </c>
      <c r="B2068" s="19" t="s">
        <v>424</v>
      </c>
      <c r="C2068" s="19"/>
      <c r="D2068" s="18">
        <v>101752.69</v>
      </c>
    </row>
    <row r="2069" spans="1:4" ht="12.75">
      <c r="A2069" s="19" t="s">
        <v>281</v>
      </c>
      <c r="B2069" s="19"/>
      <c r="C2069" s="19"/>
      <c r="D2069" s="18"/>
    </row>
    <row r="2070" spans="1:4" ht="12.75">
      <c r="A2070" s="19" t="s">
        <v>282</v>
      </c>
      <c r="B2070" s="19"/>
      <c r="C2070" s="19"/>
      <c r="D2070" s="18"/>
    </row>
    <row r="2071" ht="12.75">
      <c r="A2071" s="1"/>
    </row>
    <row r="2072" ht="12.75">
      <c r="A2072" s="1" t="s">
        <v>283</v>
      </c>
    </row>
    <row r="2073" spans="1:3" ht="12.75">
      <c r="A2073" s="1" t="s">
        <v>284</v>
      </c>
      <c r="C2073" t="s">
        <v>291</v>
      </c>
    </row>
    <row r="2074" ht="12.75">
      <c r="A2074" s="1"/>
    </row>
    <row r="2075" ht="12.75">
      <c r="A2075" s="1" t="s">
        <v>285</v>
      </c>
    </row>
    <row r="2076" ht="12.75">
      <c r="A2076" s="1"/>
    </row>
    <row r="2077" ht="12.75">
      <c r="A2077" s="1" t="s">
        <v>396</v>
      </c>
    </row>
    <row r="2078" ht="12.75">
      <c r="A2078" s="1" t="s">
        <v>287</v>
      </c>
    </row>
    <row r="2079" ht="12.75">
      <c r="A2079" s="9"/>
    </row>
    <row r="2080" ht="12.75">
      <c r="A2080" s="9"/>
    </row>
    <row r="2081" spans="1:4" ht="38.25" customHeight="1">
      <c r="A2081" s="49" t="s">
        <v>288</v>
      </c>
      <c r="B2081" s="49"/>
      <c r="C2081" s="49"/>
      <c r="D2081" s="49"/>
    </row>
    <row r="2082" ht="12.75">
      <c r="A2082" s="10"/>
    </row>
    <row r="2083" ht="12.75">
      <c r="A2083" s="10"/>
    </row>
    <row r="2084" ht="12.75">
      <c r="A2084" s="10"/>
    </row>
    <row r="2085" ht="12.75">
      <c r="A2085" s="1" t="s">
        <v>286</v>
      </c>
    </row>
    <row r="2086" ht="12.75">
      <c r="A2086" s="1" t="s">
        <v>289</v>
      </c>
    </row>
    <row r="2087" ht="11.25" customHeight="1">
      <c r="A2087" s="11"/>
    </row>
    <row r="2088" ht="28.5" customHeight="1" hidden="1"/>
    <row r="2089" ht="30.75" customHeight="1"/>
    <row r="2090" spans="1:12" ht="15.75">
      <c r="A2090" s="46" t="s">
        <v>262</v>
      </c>
      <c r="B2090" s="46"/>
      <c r="C2090" s="46"/>
      <c r="D2090" s="46"/>
      <c r="E2090" s="46"/>
      <c r="F2090" s="46"/>
      <c r="G2090" s="46"/>
      <c r="H2090" s="46"/>
      <c r="I2090" s="46"/>
      <c r="J2090" s="46"/>
      <c r="K2090" s="46"/>
      <c r="L2090" s="14"/>
    </row>
    <row r="2091" spans="1:12" ht="15.75">
      <c r="A2091" s="46" t="s">
        <v>291</v>
      </c>
      <c r="B2091" s="46"/>
      <c r="C2091" s="46"/>
      <c r="D2091" s="46"/>
      <c r="E2091" s="46"/>
      <c r="F2091" s="46"/>
      <c r="G2091" s="46"/>
      <c r="H2091" s="46"/>
      <c r="I2091" s="46"/>
      <c r="J2091" s="46"/>
      <c r="K2091" s="14"/>
      <c r="L2091" s="14"/>
    </row>
    <row r="2092" spans="1:12" ht="15.75">
      <c r="A2092" s="46" t="s">
        <v>343</v>
      </c>
      <c r="B2092" s="46"/>
      <c r="C2092" s="46"/>
      <c r="D2092" s="46"/>
      <c r="E2092" s="46"/>
      <c r="F2092" s="46"/>
      <c r="G2092" s="46"/>
      <c r="H2092" s="46"/>
      <c r="I2092" s="46"/>
      <c r="J2092" s="46"/>
      <c r="K2092" s="46"/>
      <c r="L2092" s="46"/>
    </row>
    <row r="2093" spans="1:12" ht="51.75" customHeight="1">
      <c r="A2093" s="47" t="s">
        <v>290</v>
      </c>
      <c r="B2093" s="47"/>
      <c r="C2093" s="47"/>
      <c r="D2093" s="47"/>
      <c r="E2093" s="47"/>
      <c r="F2093" s="47"/>
      <c r="G2093" s="47"/>
      <c r="H2093" s="47"/>
      <c r="I2093" s="47"/>
      <c r="J2093" s="47"/>
      <c r="K2093" s="16"/>
      <c r="L2093" s="16"/>
    </row>
    <row r="2094" spans="1:12" ht="12.75">
      <c r="A2094" s="12"/>
      <c r="B2094" s="12"/>
      <c r="C2094" s="12"/>
      <c r="D2094" s="12"/>
      <c r="E2094" s="12"/>
      <c r="F2094" s="12"/>
      <c r="G2094" s="12"/>
      <c r="H2094" s="12"/>
      <c r="I2094" s="12"/>
      <c r="J2094" s="12"/>
      <c r="K2094" s="13"/>
      <c r="L2094" s="13"/>
    </row>
    <row r="2095" spans="1:12" ht="12.75">
      <c r="A2095" s="18" t="s">
        <v>264</v>
      </c>
      <c r="B2095" s="48" t="s">
        <v>266</v>
      </c>
      <c r="C2095" s="48" t="s">
        <v>267</v>
      </c>
      <c r="D2095" s="18" t="s">
        <v>268</v>
      </c>
      <c r="K2095" s="13"/>
      <c r="L2095" s="13"/>
    </row>
    <row r="2096" spans="1:4" ht="12.75">
      <c r="A2096" s="18" t="s">
        <v>265</v>
      </c>
      <c r="B2096" s="48"/>
      <c r="C2096" s="48"/>
      <c r="D2096" s="18" t="s">
        <v>269</v>
      </c>
    </row>
    <row r="2097" spans="1:4" ht="38.25">
      <c r="A2097" s="19" t="s">
        <v>270</v>
      </c>
      <c r="B2097" s="19" t="s">
        <v>271</v>
      </c>
      <c r="C2097" s="19"/>
      <c r="D2097" s="18">
        <f>D2098+D2099+D2100+D2101+D2102+D2103</f>
        <v>20129.32</v>
      </c>
    </row>
    <row r="2098" spans="1:4" ht="38.25">
      <c r="A2098" s="19" t="s">
        <v>19</v>
      </c>
      <c r="B2098" s="20" t="s">
        <v>272</v>
      </c>
      <c r="C2098" s="19"/>
      <c r="D2098" s="18">
        <f>2310.06+2820</f>
        <v>5130.0599999999995</v>
      </c>
    </row>
    <row r="2099" spans="1:4" ht="38.25">
      <c r="A2099" s="19" t="s">
        <v>20</v>
      </c>
      <c r="B2099" s="20" t="s">
        <v>273</v>
      </c>
      <c r="C2099" s="19"/>
      <c r="D2099" s="18">
        <f>5010.81+4641.36+1199.56</f>
        <v>10851.73</v>
      </c>
    </row>
    <row r="2100" spans="1:4" ht="38.25">
      <c r="A2100" s="21" t="s">
        <v>293</v>
      </c>
      <c r="B2100" s="20" t="s">
        <v>274</v>
      </c>
      <c r="C2100" s="19"/>
      <c r="D2100" s="18"/>
    </row>
    <row r="2101" spans="1:4" ht="38.25">
      <c r="A2101" s="21" t="s">
        <v>292</v>
      </c>
      <c r="B2101" s="20" t="s">
        <v>275</v>
      </c>
      <c r="C2101" s="19"/>
      <c r="D2101" s="18">
        <v>1350</v>
      </c>
    </row>
    <row r="2102" spans="1:4" ht="38.25">
      <c r="A2102" s="21" t="s">
        <v>294</v>
      </c>
      <c r="B2102" s="20" t="s">
        <v>276</v>
      </c>
      <c r="C2102" s="19"/>
      <c r="D2102" s="18">
        <f>1237.53</f>
        <v>1237.53</v>
      </c>
    </row>
    <row r="2103" spans="1:4" ht="25.5">
      <c r="A2103" s="21" t="s">
        <v>295</v>
      </c>
      <c r="B2103" s="20" t="s">
        <v>277</v>
      </c>
      <c r="C2103" s="19"/>
      <c r="D2103" s="18">
        <f>1560</f>
        <v>1560</v>
      </c>
    </row>
    <row r="2104" spans="1:4" ht="12.75">
      <c r="A2104" s="19" t="s">
        <v>278</v>
      </c>
      <c r="B2104" s="19" t="s">
        <v>279</v>
      </c>
      <c r="C2104" s="19"/>
      <c r="D2104" s="18">
        <f>D2105+D2106+D2107</f>
        <v>0</v>
      </c>
    </row>
    <row r="2105" spans="1:4" ht="12.75">
      <c r="A2105" s="19" t="s">
        <v>280</v>
      </c>
      <c r="B2105" s="19"/>
      <c r="C2105" s="19"/>
      <c r="D2105" s="18"/>
    </row>
    <row r="2106" spans="1:4" ht="12.75">
      <c r="A2106" s="19" t="s">
        <v>281</v>
      </c>
      <c r="B2106" s="19"/>
      <c r="C2106" s="19"/>
      <c r="D2106" s="18"/>
    </row>
    <row r="2107" spans="1:4" ht="12.75">
      <c r="A2107" s="19" t="s">
        <v>282</v>
      </c>
      <c r="B2107" s="19"/>
      <c r="C2107" s="19"/>
      <c r="D2107" s="18"/>
    </row>
    <row r="2108" ht="12.75">
      <c r="A2108" s="1"/>
    </row>
    <row r="2109" ht="12.75">
      <c r="A2109" s="1" t="s">
        <v>283</v>
      </c>
    </row>
    <row r="2110" spans="1:3" ht="12.75">
      <c r="A2110" s="1" t="s">
        <v>284</v>
      </c>
      <c r="C2110" t="s">
        <v>291</v>
      </c>
    </row>
    <row r="2111" ht="12.75">
      <c r="A2111" s="1"/>
    </row>
    <row r="2112" ht="12.75">
      <c r="A2112" s="1" t="s">
        <v>285</v>
      </c>
    </row>
    <row r="2113" ht="12.75">
      <c r="A2113" s="1"/>
    </row>
    <row r="2114" ht="12.75">
      <c r="A2114" s="1" t="s">
        <v>396</v>
      </c>
    </row>
    <row r="2115" ht="12.75">
      <c r="A2115" s="1" t="s">
        <v>287</v>
      </c>
    </row>
    <row r="2116" ht="12.75">
      <c r="A2116" s="9"/>
    </row>
    <row r="2117" ht="12.75">
      <c r="A2117" s="9"/>
    </row>
    <row r="2118" spans="1:4" ht="39" customHeight="1">
      <c r="A2118" s="49" t="s">
        <v>288</v>
      </c>
      <c r="B2118" s="49"/>
      <c r="C2118" s="49"/>
      <c r="D2118" s="49"/>
    </row>
    <row r="2119" ht="12.75">
      <c r="A2119" s="10"/>
    </row>
    <row r="2120" ht="12.75">
      <c r="A2120" s="10"/>
    </row>
    <row r="2121" ht="12.75">
      <c r="A2121" s="10"/>
    </row>
    <row r="2122" ht="12.75">
      <c r="A2122" s="1" t="s">
        <v>286</v>
      </c>
    </row>
    <row r="2123" ht="12.75">
      <c r="A2123" s="1" t="s">
        <v>289</v>
      </c>
    </row>
    <row r="2124" ht="12.75">
      <c r="A2124" s="1"/>
    </row>
    <row r="2125" ht="12" customHeight="1">
      <c r="A2125" s="11"/>
    </row>
    <row r="2126" ht="16.5" customHeight="1"/>
    <row r="2127" spans="1:12" ht="15.75">
      <c r="A2127" s="46" t="s">
        <v>262</v>
      </c>
      <c r="B2127" s="46"/>
      <c r="C2127" s="46"/>
      <c r="D2127" s="46"/>
      <c r="E2127" s="46"/>
      <c r="F2127" s="46"/>
      <c r="G2127" s="46"/>
      <c r="H2127" s="46"/>
      <c r="I2127" s="46"/>
      <c r="J2127" s="46"/>
      <c r="K2127" s="46"/>
      <c r="L2127" s="14"/>
    </row>
    <row r="2128" spans="1:12" ht="15.75">
      <c r="A2128" s="46" t="s">
        <v>291</v>
      </c>
      <c r="B2128" s="46"/>
      <c r="C2128" s="46"/>
      <c r="D2128" s="46"/>
      <c r="E2128" s="46"/>
      <c r="F2128" s="46"/>
      <c r="G2128" s="46"/>
      <c r="H2128" s="46"/>
      <c r="I2128" s="46"/>
      <c r="J2128" s="46"/>
      <c r="K2128" s="14"/>
      <c r="L2128" s="14"/>
    </row>
    <row r="2129" spans="1:12" ht="15.75">
      <c r="A2129" s="46" t="s">
        <v>345</v>
      </c>
      <c r="B2129" s="46"/>
      <c r="C2129" s="46"/>
      <c r="D2129" s="46"/>
      <c r="E2129" s="46"/>
      <c r="F2129" s="46"/>
      <c r="G2129" s="46"/>
      <c r="H2129" s="46"/>
      <c r="I2129" s="46"/>
      <c r="J2129" s="46"/>
      <c r="K2129" s="46"/>
      <c r="L2129" s="46"/>
    </row>
    <row r="2130" spans="1:12" ht="53.25" customHeight="1">
      <c r="A2130" s="47" t="s">
        <v>290</v>
      </c>
      <c r="B2130" s="47"/>
      <c r="C2130" s="47"/>
      <c r="D2130" s="47"/>
      <c r="E2130" s="47"/>
      <c r="F2130" s="47"/>
      <c r="G2130" s="47"/>
      <c r="H2130" s="47"/>
      <c r="I2130" s="47"/>
      <c r="J2130" s="47"/>
      <c r="K2130" s="16"/>
      <c r="L2130" s="16"/>
    </row>
    <row r="2131" spans="1:12" ht="12.75">
      <c r="A2131" s="12"/>
      <c r="B2131" s="12"/>
      <c r="C2131" s="12"/>
      <c r="D2131" s="12"/>
      <c r="E2131" s="12"/>
      <c r="F2131" s="12"/>
      <c r="G2131" s="12"/>
      <c r="H2131" s="12"/>
      <c r="I2131" s="12"/>
      <c r="J2131" s="12"/>
      <c r="K2131" s="13"/>
      <c r="L2131" s="13"/>
    </row>
    <row r="2132" spans="1:12" ht="12.75">
      <c r="A2132" s="18" t="s">
        <v>264</v>
      </c>
      <c r="B2132" s="48" t="s">
        <v>266</v>
      </c>
      <c r="C2132" s="48" t="s">
        <v>267</v>
      </c>
      <c r="D2132" s="18" t="s">
        <v>268</v>
      </c>
      <c r="K2132" s="13"/>
      <c r="L2132" s="13"/>
    </row>
    <row r="2133" spans="1:4" ht="12.75">
      <c r="A2133" s="18" t="s">
        <v>265</v>
      </c>
      <c r="B2133" s="48"/>
      <c r="C2133" s="48"/>
      <c r="D2133" s="18" t="s">
        <v>269</v>
      </c>
    </row>
    <row r="2134" spans="1:4" ht="38.25">
      <c r="A2134" s="19" t="s">
        <v>270</v>
      </c>
      <c r="B2134" s="19" t="s">
        <v>271</v>
      </c>
      <c r="C2134" s="19"/>
      <c r="D2134" s="18">
        <f>D2135+D2136+D2137+D2138+D2139+D2140</f>
        <v>132912.43</v>
      </c>
    </row>
    <row r="2135" spans="1:4" ht="38.25">
      <c r="A2135" s="19" t="s">
        <v>19</v>
      </c>
      <c r="B2135" s="20" t="s">
        <v>272</v>
      </c>
      <c r="C2135" s="19"/>
      <c r="D2135" s="18">
        <f>2310.06+4034.72+25690.15+7911.93+42467</f>
        <v>82413.86</v>
      </c>
    </row>
    <row r="2136" spans="1:4" ht="38.25">
      <c r="A2136" s="19" t="s">
        <v>20</v>
      </c>
      <c r="B2136" s="20" t="s">
        <v>273</v>
      </c>
      <c r="C2136" s="19"/>
      <c r="D2136" s="18">
        <f>49458.42</f>
        <v>49458.42</v>
      </c>
    </row>
    <row r="2137" spans="1:4" ht="38.25">
      <c r="A2137" s="21" t="s">
        <v>293</v>
      </c>
      <c r="B2137" s="20" t="s">
        <v>274</v>
      </c>
      <c r="C2137" s="19"/>
      <c r="D2137" s="18">
        <f>1040.15</f>
        <v>1040.15</v>
      </c>
    </row>
    <row r="2138" spans="1:4" ht="38.25">
      <c r="A2138" s="21" t="s">
        <v>292</v>
      </c>
      <c r="B2138" s="20" t="s">
        <v>275</v>
      </c>
      <c r="C2138" s="19"/>
      <c r="D2138" s="18"/>
    </row>
    <row r="2139" spans="1:4" ht="38.25">
      <c r="A2139" s="21" t="s">
        <v>294</v>
      </c>
      <c r="B2139" s="20" t="s">
        <v>276</v>
      </c>
      <c r="C2139" s="19"/>
      <c r="D2139" s="18"/>
    </row>
    <row r="2140" spans="1:4" ht="25.5">
      <c r="A2140" s="21" t="s">
        <v>295</v>
      </c>
      <c r="B2140" s="20" t="s">
        <v>277</v>
      </c>
      <c r="C2140" s="19"/>
      <c r="D2140" s="18"/>
    </row>
    <row r="2141" spans="1:4" ht="12.75">
      <c r="A2141" s="19" t="s">
        <v>278</v>
      </c>
      <c r="B2141" s="19" t="s">
        <v>279</v>
      </c>
      <c r="C2141" s="19"/>
      <c r="D2141" s="18">
        <f>D2142</f>
        <v>0</v>
      </c>
    </row>
    <row r="2142" spans="1:4" ht="12.75">
      <c r="A2142" s="19" t="s">
        <v>280</v>
      </c>
      <c r="B2142" s="19"/>
      <c r="C2142" s="19"/>
      <c r="D2142" s="18"/>
    </row>
    <row r="2143" spans="1:4" ht="12.75">
      <c r="A2143" s="19" t="s">
        <v>281</v>
      </c>
      <c r="B2143" s="19"/>
      <c r="C2143" s="19"/>
      <c r="D2143" s="18"/>
    </row>
    <row r="2144" spans="1:4" ht="12.75">
      <c r="A2144" s="19" t="s">
        <v>282</v>
      </c>
      <c r="B2144" s="19"/>
      <c r="C2144" s="19"/>
      <c r="D2144" s="18"/>
    </row>
    <row r="2145" ht="12.75">
      <c r="A2145" s="1"/>
    </row>
    <row r="2146" ht="12.75">
      <c r="A2146" s="1" t="s">
        <v>283</v>
      </c>
    </row>
    <row r="2147" spans="1:3" ht="12.75">
      <c r="A2147" s="1" t="s">
        <v>284</v>
      </c>
      <c r="C2147" t="s">
        <v>291</v>
      </c>
    </row>
    <row r="2148" ht="12.75">
      <c r="A2148" s="1"/>
    </row>
    <row r="2149" ht="12.75">
      <c r="A2149" s="1" t="s">
        <v>285</v>
      </c>
    </row>
    <row r="2150" ht="12.75">
      <c r="A2150" s="1"/>
    </row>
    <row r="2151" ht="12.75">
      <c r="A2151" s="1" t="s">
        <v>396</v>
      </c>
    </row>
    <row r="2152" ht="12.75">
      <c r="A2152" s="1" t="s">
        <v>287</v>
      </c>
    </row>
    <row r="2153" ht="12.75">
      <c r="A2153" s="9"/>
    </row>
    <row r="2154" ht="12.75">
      <c r="A2154" s="9"/>
    </row>
    <row r="2155" spans="1:4" ht="37.5" customHeight="1">
      <c r="A2155" s="49" t="s">
        <v>288</v>
      </c>
      <c r="B2155" s="49"/>
      <c r="C2155" s="49"/>
      <c r="D2155" s="49"/>
    </row>
    <row r="2156" ht="12.75">
      <c r="A2156" s="10"/>
    </row>
    <row r="2157" ht="12.75">
      <c r="A2157" s="10"/>
    </row>
    <row r="2158" ht="12.75">
      <c r="A2158" s="10"/>
    </row>
    <row r="2159" ht="12.75">
      <c r="A2159" s="1" t="s">
        <v>286</v>
      </c>
    </row>
    <row r="2160" ht="12.75">
      <c r="A2160" s="1" t="s">
        <v>289</v>
      </c>
    </row>
    <row r="2161" ht="12.75">
      <c r="A2161" s="11"/>
    </row>
    <row r="2162" ht="12.75" hidden="1"/>
    <row r="2163" ht="12.75" hidden="1"/>
    <row r="2164" spans="1:12" ht="15.75">
      <c r="A2164" s="46" t="s">
        <v>262</v>
      </c>
      <c r="B2164" s="46"/>
      <c r="C2164" s="46"/>
      <c r="D2164" s="46"/>
      <c r="E2164" s="46"/>
      <c r="F2164" s="46"/>
      <c r="G2164" s="46"/>
      <c r="H2164" s="46"/>
      <c r="I2164" s="46"/>
      <c r="J2164" s="46"/>
      <c r="K2164" s="46"/>
      <c r="L2164" s="14"/>
    </row>
    <row r="2165" spans="1:12" ht="15.75">
      <c r="A2165" s="46" t="s">
        <v>291</v>
      </c>
      <c r="B2165" s="46"/>
      <c r="C2165" s="46"/>
      <c r="D2165" s="46"/>
      <c r="E2165" s="46"/>
      <c r="F2165" s="46"/>
      <c r="G2165" s="46"/>
      <c r="H2165" s="46"/>
      <c r="I2165" s="46"/>
      <c r="J2165" s="46"/>
      <c r="K2165" s="14"/>
      <c r="L2165" s="14"/>
    </row>
    <row r="2166" spans="1:12" ht="15.75">
      <c r="A2166" s="46" t="s">
        <v>346</v>
      </c>
      <c r="B2166" s="46"/>
      <c r="C2166" s="46"/>
      <c r="D2166" s="46"/>
      <c r="E2166" s="46"/>
      <c r="F2166" s="46"/>
      <c r="G2166" s="46"/>
      <c r="H2166" s="46"/>
      <c r="I2166" s="46"/>
      <c r="J2166" s="46"/>
      <c r="K2166" s="46"/>
      <c r="L2166" s="46"/>
    </row>
    <row r="2167" spans="1:12" ht="54.75" customHeight="1">
      <c r="A2167" s="47" t="s">
        <v>290</v>
      </c>
      <c r="B2167" s="47"/>
      <c r="C2167" s="47"/>
      <c r="D2167" s="47"/>
      <c r="E2167" s="47"/>
      <c r="F2167" s="47"/>
      <c r="G2167" s="47"/>
      <c r="H2167" s="47"/>
      <c r="I2167" s="47"/>
      <c r="J2167" s="47"/>
      <c r="K2167" s="16"/>
      <c r="L2167" s="16"/>
    </row>
    <row r="2168" spans="1:12" ht="12.75">
      <c r="A2168" s="12"/>
      <c r="B2168" s="12"/>
      <c r="C2168" s="12"/>
      <c r="D2168" s="12"/>
      <c r="E2168" s="12"/>
      <c r="F2168" s="12"/>
      <c r="G2168" s="12"/>
      <c r="H2168" s="12"/>
      <c r="I2168" s="12"/>
      <c r="J2168" s="12"/>
      <c r="K2168" s="13"/>
      <c r="L2168" s="13"/>
    </row>
    <row r="2169" spans="1:12" ht="12.75">
      <c r="A2169" s="18" t="s">
        <v>264</v>
      </c>
      <c r="B2169" s="48" t="s">
        <v>266</v>
      </c>
      <c r="C2169" s="48" t="s">
        <v>267</v>
      </c>
      <c r="D2169" s="18" t="s">
        <v>268</v>
      </c>
      <c r="K2169" s="13"/>
      <c r="L2169" s="13"/>
    </row>
    <row r="2170" spans="1:4" ht="12.75">
      <c r="A2170" s="18" t="s">
        <v>265</v>
      </c>
      <c r="B2170" s="48"/>
      <c r="C2170" s="48"/>
      <c r="D2170" s="18" t="s">
        <v>269</v>
      </c>
    </row>
    <row r="2171" spans="1:4" ht="38.25">
      <c r="A2171" s="19" t="s">
        <v>270</v>
      </c>
      <c r="B2171" s="19" t="s">
        <v>271</v>
      </c>
      <c r="C2171" s="19"/>
      <c r="D2171" s="18">
        <f>D2172+D2173+D2174+D2175+D2176+D2177</f>
        <v>117441.3</v>
      </c>
    </row>
    <row r="2172" spans="1:4" ht="38.25">
      <c r="A2172" s="19" t="s">
        <v>19</v>
      </c>
      <c r="B2172" s="20" t="s">
        <v>272</v>
      </c>
      <c r="C2172" s="19"/>
      <c r="D2172" s="18">
        <f>1942.72+1785.21+64217+5405.11</f>
        <v>73350.04</v>
      </c>
    </row>
    <row r="2173" spans="1:4" ht="38.25">
      <c r="A2173" s="19" t="s">
        <v>20</v>
      </c>
      <c r="B2173" s="20" t="s">
        <v>273</v>
      </c>
      <c r="C2173" s="19"/>
      <c r="D2173" s="18">
        <f>34451.97+471.18</f>
        <v>34923.15</v>
      </c>
    </row>
    <row r="2174" spans="1:4" ht="38.25">
      <c r="A2174" s="21" t="s">
        <v>293</v>
      </c>
      <c r="B2174" s="20" t="s">
        <v>274</v>
      </c>
      <c r="C2174" s="19"/>
      <c r="D2174" s="18"/>
    </row>
    <row r="2175" spans="1:4" ht="38.25">
      <c r="A2175" s="21" t="s">
        <v>292</v>
      </c>
      <c r="B2175" s="20" t="s">
        <v>275</v>
      </c>
      <c r="C2175" s="19"/>
      <c r="D2175" s="18">
        <f>9168.11</f>
        <v>9168.11</v>
      </c>
    </row>
    <row r="2176" spans="1:4" ht="38.25">
      <c r="A2176" s="21" t="s">
        <v>294</v>
      </c>
      <c r="B2176" s="20" t="s">
        <v>276</v>
      </c>
      <c r="C2176" s="19"/>
      <c r="D2176" s="18"/>
    </row>
    <row r="2177" spans="1:4" ht="25.5">
      <c r="A2177" s="21" t="s">
        <v>295</v>
      </c>
      <c r="B2177" s="20" t="s">
        <v>277</v>
      </c>
      <c r="C2177" s="19"/>
      <c r="D2177" s="18"/>
    </row>
    <row r="2178" spans="1:4" ht="12.75">
      <c r="A2178" s="19" t="s">
        <v>278</v>
      </c>
      <c r="B2178" s="19" t="s">
        <v>279</v>
      </c>
      <c r="C2178" s="19"/>
      <c r="D2178" s="18"/>
    </row>
    <row r="2179" spans="1:4" ht="12.75">
      <c r="A2179" s="19" t="s">
        <v>280</v>
      </c>
      <c r="B2179" s="19"/>
      <c r="C2179" s="19"/>
      <c r="D2179" s="18"/>
    </row>
    <row r="2180" spans="1:4" ht="12.75">
      <c r="A2180" s="19" t="s">
        <v>281</v>
      </c>
      <c r="B2180" s="19"/>
      <c r="C2180" s="19"/>
      <c r="D2180" s="18"/>
    </row>
    <row r="2181" spans="1:4" ht="12.75">
      <c r="A2181" s="19" t="s">
        <v>282</v>
      </c>
      <c r="B2181" s="19"/>
      <c r="C2181" s="19"/>
      <c r="D2181" s="18"/>
    </row>
    <row r="2182" ht="12.75">
      <c r="A2182" s="1"/>
    </row>
    <row r="2183" ht="12.75">
      <c r="A2183" s="1" t="s">
        <v>283</v>
      </c>
    </row>
    <row r="2184" spans="1:3" ht="12.75">
      <c r="A2184" s="1" t="s">
        <v>284</v>
      </c>
      <c r="C2184" t="s">
        <v>291</v>
      </c>
    </row>
    <row r="2185" ht="12.75">
      <c r="A2185" s="1"/>
    </row>
    <row r="2186" ht="12.75">
      <c r="A2186" s="1" t="s">
        <v>285</v>
      </c>
    </row>
    <row r="2187" ht="12.75">
      <c r="A2187" s="1"/>
    </row>
    <row r="2188" ht="12.75">
      <c r="A2188" s="1" t="s">
        <v>396</v>
      </c>
    </row>
    <row r="2189" ht="12.75">
      <c r="A2189" s="1" t="s">
        <v>287</v>
      </c>
    </row>
    <row r="2190" ht="12.75">
      <c r="A2190" s="9"/>
    </row>
    <row r="2191" ht="12.75">
      <c r="A2191" s="9"/>
    </row>
    <row r="2192" spans="1:4" ht="37.5" customHeight="1">
      <c r="A2192" s="49" t="s">
        <v>288</v>
      </c>
      <c r="B2192" s="49"/>
      <c r="C2192" s="49"/>
      <c r="D2192" s="49"/>
    </row>
    <row r="2193" ht="12.75">
      <c r="A2193" s="10"/>
    </row>
    <row r="2194" ht="12.75">
      <c r="A2194" s="10"/>
    </row>
    <row r="2195" ht="12.75">
      <c r="A2195" s="10"/>
    </row>
    <row r="2196" ht="12.75">
      <c r="A2196" s="1" t="s">
        <v>286</v>
      </c>
    </row>
    <row r="2197" ht="12.75">
      <c r="A2197" s="1" t="s">
        <v>289</v>
      </c>
    </row>
    <row r="2198" ht="12.75">
      <c r="A2198" s="11"/>
    </row>
    <row r="2200" ht="13.5" customHeight="1"/>
    <row r="2201" spans="1:12" ht="15.75">
      <c r="A2201" s="46" t="s">
        <v>262</v>
      </c>
      <c r="B2201" s="46"/>
      <c r="C2201" s="46"/>
      <c r="D2201" s="46"/>
      <c r="E2201" s="46"/>
      <c r="F2201" s="46"/>
      <c r="G2201" s="46"/>
      <c r="H2201" s="46"/>
      <c r="I2201" s="46"/>
      <c r="J2201" s="46"/>
      <c r="K2201" s="46"/>
      <c r="L2201" s="14"/>
    </row>
    <row r="2202" spans="1:12" ht="15.75">
      <c r="A2202" s="46" t="s">
        <v>291</v>
      </c>
      <c r="B2202" s="46"/>
      <c r="C2202" s="46"/>
      <c r="D2202" s="46"/>
      <c r="E2202" s="46"/>
      <c r="F2202" s="46"/>
      <c r="G2202" s="46"/>
      <c r="H2202" s="46"/>
      <c r="I2202" s="46"/>
      <c r="J2202" s="46"/>
      <c r="K2202" s="14"/>
      <c r="L2202" s="14"/>
    </row>
    <row r="2203" spans="1:12" ht="15.75">
      <c r="A2203" s="46" t="s">
        <v>347</v>
      </c>
      <c r="B2203" s="46"/>
      <c r="C2203" s="46"/>
      <c r="D2203" s="46"/>
      <c r="E2203" s="46"/>
      <c r="F2203" s="46"/>
      <c r="G2203" s="46"/>
      <c r="H2203" s="46"/>
      <c r="I2203" s="46"/>
      <c r="J2203" s="46"/>
      <c r="K2203" s="46"/>
      <c r="L2203" s="46"/>
    </row>
    <row r="2204" spans="1:12" ht="54" customHeight="1">
      <c r="A2204" s="47" t="s">
        <v>290</v>
      </c>
      <c r="B2204" s="47"/>
      <c r="C2204" s="47"/>
      <c r="D2204" s="47"/>
      <c r="E2204" s="47"/>
      <c r="F2204" s="47"/>
      <c r="G2204" s="47"/>
      <c r="H2204" s="47"/>
      <c r="I2204" s="47"/>
      <c r="J2204" s="47"/>
      <c r="K2204" s="16"/>
      <c r="L2204" s="16"/>
    </row>
    <row r="2205" spans="1:12" ht="12.75">
      <c r="A2205" s="12"/>
      <c r="B2205" s="12"/>
      <c r="C2205" s="12"/>
      <c r="D2205" s="12"/>
      <c r="E2205" s="12"/>
      <c r="F2205" s="12"/>
      <c r="G2205" s="12"/>
      <c r="H2205" s="12"/>
      <c r="I2205" s="12"/>
      <c r="J2205" s="12"/>
      <c r="K2205" s="13"/>
      <c r="L2205" s="13"/>
    </row>
    <row r="2206" spans="1:12" ht="12.75">
      <c r="A2206" s="18" t="s">
        <v>264</v>
      </c>
      <c r="B2206" s="48" t="s">
        <v>266</v>
      </c>
      <c r="C2206" s="48" t="s">
        <v>267</v>
      </c>
      <c r="D2206" s="18" t="s">
        <v>268</v>
      </c>
      <c r="K2206" s="13"/>
      <c r="L2206" s="13"/>
    </row>
    <row r="2207" spans="1:4" ht="12.75">
      <c r="A2207" s="18" t="s">
        <v>265</v>
      </c>
      <c r="B2207" s="48"/>
      <c r="C2207" s="48"/>
      <c r="D2207" s="18" t="s">
        <v>269</v>
      </c>
    </row>
    <row r="2208" spans="1:4" ht="38.25">
      <c r="A2208" s="19" t="s">
        <v>270</v>
      </c>
      <c r="B2208" s="19" t="s">
        <v>271</v>
      </c>
      <c r="C2208" s="19"/>
      <c r="D2208" s="18">
        <f>D2209+D2210+D2211+D2212+D2213+D2214</f>
        <v>69251.06999999999</v>
      </c>
    </row>
    <row r="2209" spans="1:4" ht="38.25">
      <c r="A2209" s="19" t="s">
        <v>19</v>
      </c>
      <c r="B2209" s="20" t="s">
        <v>272</v>
      </c>
      <c r="C2209" s="19"/>
      <c r="D2209" s="18">
        <v>2085</v>
      </c>
    </row>
    <row r="2210" spans="1:4" ht="38.25">
      <c r="A2210" s="19" t="s">
        <v>20</v>
      </c>
      <c r="B2210" s="20" t="s">
        <v>273</v>
      </c>
      <c r="C2210" s="19"/>
      <c r="D2210" s="18">
        <f>2668+56243</f>
        <v>58911</v>
      </c>
    </row>
    <row r="2211" spans="1:4" ht="38.25">
      <c r="A2211" s="21" t="s">
        <v>293</v>
      </c>
      <c r="B2211" s="20" t="s">
        <v>274</v>
      </c>
      <c r="C2211" s="19"/>
      <c r="D2211" s="18">
        <f>5258.73+456</f>
        <v>5714.73</v>
      </c>
    </row>
    <row r="2212" spans="1:4" ht="38.25">
      <c r="A2212" s="21" t="s">
        <v>292</v>
      </c>
      <c r="B2212" s="20" t="s">
        <v>275</v>
      </c>
      <c r="C2212" s="19"/>
      <c r="D2212" s="18">
        <f>1344.34+1196</f>
        <v>2540.34</v>
      </c>
    </row>
    <row r="2213" spans="1:4" ht="38.25">
      <c r="A2213" s="21" t="s">
        <v>294</v>
      </c>
      <c r="B2213" s="20" t="s">
        <v>276</v>
      </c>
      <c r="C2213" s="19"/>
      <c r="D2213" s="18"/>
    </row>
    <row r="2214" spans="1:4" ht="25.5">
      <c r="A2214" s="21" t="s">
        <v>295</v>
      </c>
      <c r="B2214" s="20" t="s">
        <v>277</v>
      </c>
      <c r="C2214" s="19"/>
      <c r="D2214" s="18"/>
    </row>
    <row r="2215" spans="1:4" ht="12.75">
      <c r="A2215" s="19" t="s">
        <v>278</v>
      </c>
      <c r="B2215" s="19" t="s">
        <v>279</v>
      </c>
      <c r="C2215" s="19"/>
      <c r="D2215" s="18"/>
    </row>
    <row r="2216" spans="1:4" ht="12.75">
      <c r="A2216" s="19" t="s">
        <v>280</v>
      </c>
      <c r="B2216" s="19"/>
      <c r="C2216" s="19"/>
      <c r="D2216" s="18"/>
    </row>
    <row r="2217" spans="1:4" ht="12.75">
      <c r="A2217" s="19" t="s">
        <v>281</v>
      </c>
      <c r="B2217" s="19"/>
      <c r="C2217" s="19"/>
      <c r="D2217" s="18"/>
    </row>
    <row r="2218" spans="1:4" ht="12.75">
      <c r="A2218" s="19" t="s">
        <v>282</v>
      </c>
      <c r="B2218" s="19"/>
      <c r="C2218" s="19"/>
      <c r="D2218" s="18"/>
    </row>
    <row r="2219" ht="12.75">
      <c r="A2219" s="1"/>
    </row>
    <row r="2220" ht="12.75">
      <c r="A2220" s="1" t="s">
        <v>283</v>
      </c>
    </row>
    <row r="2221" spans="1:3" ht="12.75">
      <c r="A2221" s="1" t="s">
        <v>284</v>
      </c>
      <c r="C2221" t="s">
        <v>291</v>
      </c>
    </row>
    <row r="2222" ht="12.75">
      <c r="A2222" s="1"/>
    </row>
    <row r="2223" ht="12.75">
      <c r="A2223" s="1" t="s">
        <v>285</v>
      </c>
    </row>
    <row r="2224" ht="12.75">
      <c r="A2224" s="1"/>
    </row>
    <row r="2225" ht="12.75">
      <c r="A2225" s="1" t="s">
        <v>396</v>
      </c>
    </row>
    <row r="2226" ht="12.75">
      <c r="A2226" s="1" t="s">
        <v>287</v>
      </c>
    </row>
    <row r="2227" ht="12.75">
      <c r="A2227" s="9"/>
    </row>
    <row r="2228" ht="12.75">
      <c r="A2228" s="9"/>
    </row>
    <row r="2229" spans="1:4" ht="39.75" customHeight="1">
      <c r="A2229" s="49" t="s">
        <v>288</v>
      </c>
      <c r="B2229" s="49"/>
      <c r="C2229" s="49"/>
      <c r="D2229" s="49"/>
    </row>
    <row r="2230" ht="12.75">
      <c r="A2230" s="10"/>
    </row>
    <row r="2231" ht="12.75">
      <c r="A2231" s="10"/>
    </row>
    <row r="2232" ht="12.75">
      <c r="A2232" s="10"/>
    </row>
    <row r="2233" ht="12.75">
      <c r="A2233" s="1" t="s">
        <v>286</v>
      </c>
    </row>
    <row r="2234" ht="12.75">
      <c r="A2234" s="1" t="s">
        <v>289</v>
      </c>
    </row>
    <row r="2235" ht="12.75">
      <c r="A2235" s="1"/>
    </row>
    <row r="2236" ht="12.75">
      <c r="A2236" s="1"/>
    </row>
    <row r="2237" ht="12.75">
      <c r="A2237" s="1"/>
    </row>
    <row r="2238" ht="12.75" hidden="1">
      <c r="A2238" s="1"/>
    </row>
    <row r="2239" spans="1:12" ht="15.75">
      <c r="A2239" s="1"/>
      <c r="B2239" s="46" t="s">
        <v>262</v>
      </c>
      <c r="C2239" s="46"/>
      <c r="D2239" s="46"/>
      <c r="E2239" s="46"/>
      <c r="F2239" s="46"/>
      <c r="G2239" s="46"/>
      <c r="H2239" s="46"/>
      <c r="I2239" s="46"/>
      <c r="J2239" s="46"/>
      <c r="K2239" s="46"/>
      <c r="L2239" s="46"/>
    </row>
    <row r="2240" spans="2:12" ht="15.75">
      <c r="B2240" s="46" t="s">
        <v>291</v>
      </c>
      <c r="C2240" s="46"/>
      <c r="D2240" s="46"/>
      <c r="E2240" s="46"/>
      <c r="F2240" s="46"/>
      <c r="G2240" s="46"/>
      <c r="H2240" s="46"/>
      <c r="I2240" s="46"/>
      <c r="J2240" s="46"/>
      <c r="K2240" s="46"/>
      <c r="L2240" s="14"/>
    </row>
    <row r="2241" spans="1:12" ht="12.75" customHeight="1" hidden="1">
      <c r="A2241" s="46" t="s">
        <v>262</v>
      </c>
      <c r="B2241" s="46"/>
      <c r="C2241" s="46"/>
      <c r="D2241" s="46"/>
      <c r="E2241" s="46"/>
      <c r="F2241" s="46"/>
      <c r="G2241" s="46"/>
      <c r="H2241" s="46"/>
      <c r="I2241" s="46"/>
      <c r="J2241" s="46"/>
      <c r="K2241" s="46"/>
      <c r="L2241" s="14"/>
    </row>
    <row r="2242" spans="1:12" ht="12.75" customHeight="1" hidden="1">
      <c r="A2242" s="46" t="s">
        <v>291</v>
      </c>
      <c r="B2242" s="46"/>
      <c r="C2242" s="46"/>
      <c r="D2242" s="46"/>
      <c r="E2242" s="46"/>
      <c r="F2242" s="46"/>
      <c r="G2242" s="46"/>
      <c r="H2242" s="46"/>
      <c r="I2242" s="46"/>
      <c r="J2242" s="46"/>
      <c r="K2242" s="14"/>
      <c r="L2242" s="14"/>
    </row>
    <row r="2243" spans="1:12" ht="15.75">
      <c r="A2243" s="46" t="s">
        <v>338</v>
      </c>
      <c r="B2243" s="46"/>
      <c r="C2243" s="46"/>
      <c r="D2243" s="46"/>
      <c r="E2243" s="46"/>
      <c r="F2243" s="46"/>
      <c r="G2243" s="46"/>
      <c r="H2243" s="46"/>
      <c r="I2243" s="46"/>
      <c r="J2243" s="46"/>
      <c r="K2243" s="46"/>
      <c r="L2243" s="46"/>
    </row>
    <row r="2244" spans="1:12" ht="45.75" customHeight="1">
      <c r="A2244" s="47" t="s">
        <v>290</v>
      </c>
      <c r="B2244" s="47"/>
      <c r="C2244" s="47"/>
      <c r="D2244" s="47"/>
      <c r="E2244" s="47"/>
      <c r="F2244" s="47"/>
      <c r="G2244" s="47"/>
      <c r="H2244" s="47"/>
      <c r="I2244" s="47"/>
      <c r="J2244" s="47"/>
      <c r="K2244" s="16"/>
      <c r="L2244" s="16"/>
    </row>
    <row r="2245" spans="1:12" ht="12.75">
      <c r="A2245" s="12"/>
      <c r="B2245" s="12"/>
      <c r="C2245" s="12"/>
      <c r="D2245" s="12"/>
      <c r="E2245" s="12"/>
      <c r="F2245" s="12"/>
      <c r="G2245" s="12"/>
      <c r="H2245" s="12"/>
      <c r="I2245" s="12"/>
      <c r="J2245" s="12"/>
      <c r="K2245" s="13"/>
      <c r="L2245" s="13"/>
    </row>
    <row r="2246" spans="1:12" ht="20.25" customHeight="1">
      <c r="A2246" s="18" t="s">
        <v>264</v>
      </c>
      <c r="B2246" s="48" t="s">
        <v>266</v>
      </c>
      <c r="C2246" s="48" t="s">
        <v>267</v>
      </c>
      <c r="D2246" s="18" t="s">
        <v>268</v>
      </c>
      <c r="K2246" s="13"/>
      <c r="L2246" s="13"/>
    </row>
    <row r="2247" spans="1:4" ht="13.5" customHeight="1">
      <c r="A2247" s="18" t="s">
        <v>265</v>
      </c>
      <c r="B2247" s="48"/>
      <c r="C2247" s="48"/>
      <c r="D2247" s="18" t="s">
        <v>269</v>
      </c>
    </row>
    <row r="2248" spans="1:4" ht="38.25">
      <c r="A2248" s="19" t="s">
        <v>270</v>
      </c>
      <c r="B2248" s="19" t="s">
        <v>271</v>
      </c>
      <c r="C2248" s="19"/>
      <c r="D2248" s="18">
        <f>D2249+D2250+D2251+D2252+D2253+D2254</f>
        <v>32439.249999999996</v>
      </c>
    </row>
    <row r="2249" spans="1:4" ht="38.25">
      <c r="A2249" s="19" t="s">
        <v>19</v>
      </c>
      <c r="B2249" s="20" t="s">
        <v>272</v>
      </c>
      <c r="C2249" s="19"/>
      <c r="D2249" s="18">
        <f>830+18772.87</f>
        <v>19602.87</v>
      </c>
    </row>
    <row r="2250" spans="1:4" ht="38.25">
      <c r="A2250" s="19" t="s">
        <v>20</v>
      </c>
      <c r="B2250" s="20" t="s">
        <v>273</v>
      </c>
      <c r="C2250" s="19"/>
      <c r="D2250" s="18">
        <v>3057.26</v>
      </c>
    </row>
    <row r="2251" spans="1:4" ht="38.25">
      <c r="A2251" s="21" t="s">
        <v>293</v>
      </c>
      <c r="B2251" s="20" t="s">
        <v>274</v>
      </c>
      <c r="C2251" s="19"/>
      <c r="D2251" s="18">
        <f>1091+6000.37</f>
        <v>7091.37</v>
      </c>
    </row>
    <row r="2252" spans="1:4" ht="38.25">
      <c r="A2252" s="21" t="s">
        <v>292</v>
      </c>
      <c r="B2252" s="20" t="s">
        <v>275</v>
      </c>
      <c r="C2252" s="19"/>
      <c r="D2252" s="18">
        <f>1000.75+1687</f>
        <v>2687.75</v>
      </c>
    </row>
    <row r="2253" spans="1:4" ht="38.25">
      <c r="A2253" s="21" t="s">
        <v>294</v>
      </c>
      <c r="B2253" s="20" t="s">
        <v>276</v>
      </c>
      <c r="C2253" s="19"/>
      <c r="D2253" s="18"/>
    </row>
    <row r="2254" spans="1:4" ht="25.5">
      <c r="A2254" s="21" t="s">
        <v>295</v>
      </c>
      <c r="B2254" s="20" t="s">
        <v>277</v>
      </c>
      <c r="C2254" s="19"/>
      <c r="D2254" s="18"/>
    </row>
    <row r="2255" spans="1:4" ht="12.75">
      <c r="A2255" s="19" t="s">
        <v>278</v>
      </c>
      <c r="B2255" s="19" t="s">
        <v>279</v>
      </c>
      <c r="C2255" s="19"/>
      <c r="D2255" s="18">
        <f>D2256+D2257</f>
        <v>0</v>
      </c>
    </row>
    <row r="2256" spans="1:4" ht="25.5">
      <c r="A2256" s="19" t="s">
        <v>280</v>
      </c>
      <c r="B2256" s="20" t="s">
        <v>403</v>
      </c>
      <c r="C2256" s="19"/>
      <c r="D2256" s="18"/>
    </row>
    <row r="2257" spans="1:4" ht="12.75">
      <c r="A2257" s="19" t="s">
        <v>281</v>
      </c>
      <c r="B2257" s="19"/>
      <c r="C2257" s="19"/>
      <c r="D2257" s="18"/>
    </row>
    <row r="2258" spans="1:4" ht="12.75">
      <c r="A2258" s="19" t="s">
        <v>282</v>
      </c>
      <c r="B2258" s="19"/>
      <c r="C2258" s="19"/>
      <c r="D2258" s="18"/>
    </row>
    <row r="2259" ht="12.75">
      <c r="A2259" s="1"/>
    </row>
    <row r="2260" ht="12.75">
      <c r="A2260" s="1" t="s">
        <v>283</v>
      </c>
    </row>
    <row r="2261" spans="1:3" ht="12.75">
      <c r="A2261" s="1" t="s">
        <v>284</v>
      </c>
      <c r="C2261" t="s">
        <v>291</v>
      </c>
    </row>
    <row r="2262" ht="12.75">
      <c r="A2262" s="1"/>
    </row>
    <row r="2263" ht="12.75">
      <c r="A2263" s="1" t="s">
        <v>285</v>
      </c>
    </row>
    <row r="2264" ht="12.75">
      <c r="A2264" s="1"/>
    </row>
    <row r="2265" ht="12.75">
      <c r="A2265" s="1" t="s">
        <v>396</v>
      </c>
    </row>
    <row r="2266" ht="12.75">
      <c r="A2266" s="1" t="s">
        <v>287</v>
      </c>
    </row>
    <row r="2267" ht="12.75">
      <c r="A2267" s="9"/>
    </row>
    <row r="2268" ht="12.75">
      <c r="A2268" s="9"/>
    </row>
    <row r="2269" spans="1:4" ht="12.75" customHeight="1">
      <c r="A2269" s="49" t="s">
        <v>288</v>
      </c>
      <c r="B2269" s="49"/>
      <c r="C2269" s="49"/>
      <c r="D2269" s="49"/>
    </row>
    <row r="2270" ht="12.75">
      <c r="A2270" s="10"/>
    </row>
    <row r="2271" ht="36.75" customHeight="1">
      <c r="A2271" s="10"/>
    </row>
    <row r="2272" ht="12.75" customHeight="1" hidden="1">
      <c r="A2272" s="10"/>
    </row>
    <row r="2273" ht="12.75">
      <c r="A2273" s="1" t="s">
        <v>286</v>
      </c>
    </row>
    <row r="2274" ht="12.75">
      <c r="A2274" s="1" t="s">
        <v>289</v>
      </c>
    </row>
    <row r="2275" ht="12.75">
      <c r="A2275" s="1"/>
    </row>
    <row r="2276" ht="12" customHeight="1">
      <c r="A2276" s="1"/>
    </row>
    <row r="2277" ht="12.75" hidden="1">
      <c r="A2277" s="11"/>
    </row>
    <row r="2278" ht="12.75" hidden="1"/>
    <row r="2279" ht="18" customHeight="1"/>
    <row r="2280" spans="1:12" ht="15.75">
      <c r="A2280" s="46" t="s">
        <v>262</v>
      </c>
      <c r="B2280" s="46"/>
      <c r="C2280" s="46"/>
      <c r="D2280" s="46"/>
      <c r="E2280" s="46"/>
      <c r="F2280" s="46"/>
      <c r="G2280" s="46"/>
      <c r="H2280" s="46"/>
      <c r="I2280" s="46"/>
      <c r="J2280" s="46"/>
      <c r="K2280" s="46"/>
      <c r="L2280" s="14"/>
    </row>
    <row r="2281" spans="1:12" ht="15.75">
      <c r="A2281" s="46" t="s">
        <v>291</v>
      </c>
      <c r="B2281" s="46"/>
      <c r="C2281" s="46"/>
      <c r="D2281" s="46"/>
      <c r="E2281" s="46"/>
      <c r="F2281" s="46"/>
      <c r="G2281" s="46"/>
      <c r="H2281" s="46"/>
      <c r="I2281" s="46"/>
      <c r="J2281" s="46"/>
      <c r="K2281" s="14"/>
      <c r="L2281" s="14"/>
    </row>
    <row r="2282" spans="1:12" ht="15.75">
      <c r="A2282" s="46" t="s">
        <v>349</v>
      </c>
      <c r="B2282" s="46"/>
      <c r="C2282" s="46"/>
      <c r="D2282" s="46"/>
      <c r="E2282" s="46"/>
      <c r="F2282" s="46"/>
      <c r="G2282" s="46"/>
      <c r="H2282" s="46"/>
      <c r="I2282" s="46"/>
      <c r="J2282" s="46"/>
      <c r="K2282" s="46"/>
      <c r="L2282" s="46"/>
    </row>
    <row r="2283" spans="1:12" ht="54.75" customHeight="1">
      <c r="A2283" s="47" t="s">
        <v>290</v>
      </c>
      <c r="B2283" s="47"/>
      <c r="C2283" s="47"/>
      <c r="D2283" s="47"/>
      <c r="E2283" s="47"/>
      <c r="F2283" s="47"/>
      <c r="G2283" s="47"/>
      <c r="H2283" s="47"/>
      <c r="I2283" s="47"/>
      <c r="J2283" s="47"/>
      <c r="K2283" s="16"/>
      <c r="L2283" s="16"/>
    </row>
    <row r="2284" spans="1:12" ht="12.75">
      <c r="A2284" s="12"/>
      <c r="B2284" s="12"/>
      <c r="C2284" s="12"/>
      <c r="D2284" s="12"/>
      <c r="E2284" s="12"/>
      <c r="F2284" s="12"/>
      <c r="G2284" s="12"/>
      <c r="H2284" s="12"/>
      <c r="I2284" s="12"/>
      <c r="J2284" s="12"/>
      <c r="K2284" s="13"/>
      <c r="L2284" s="13"/>
    </row>
    <row r="2285" spans="1:12" ht="12.75">
      <c r="A2285" s="18" t="s">
        <v>264</v>
      </c>
      <c r="B2285" s="48" t="s">
        <v>266</v>
      </c>
      <c r="C2285" s="48" t="s">
        <v>267</v>
      </c>
      <c r="D2285" s="18" t="s">
        <v>268</v>
      </c>
      <c r="K2285" s="13"/>
      <c r="L2285" s="13"/>
    </row>
    <row r="2286" spans="1:4" ht="12.75">
      <c r="A2286" s="18" t="s">
        <v>265</v>
      </c>
      <c r="B2286" s="48"/>
      <c r="C2286" s="48"/>
      <c r="D2286" s="18" t="s">
        <v>269</v>
      </c>
    </row>
    <row r="2287" spans="1:4" ht="38.25">
      <c r="A2287" s="19" t="s">
        <v>270</v>
      </c>
      <c r="B2287" s="19" t="s">
        <v>271</v>
      </c>
      <c r="C2287" s="19"/>
      <c r="D2287" s="18">
        <f>D2288+D2289+D2290+D2291+D2292+D2293</f>
        <v>42263.55</v>
      </c>
    </row>
    <row r="2288" spans="1:4" ht="38.25">
      <c r="A2288" s="19" t="s">
        <v>19</v>
      </c>
      <c r="B2288" s="20" t="s">
        <v>272</v>
      </c>
      <c r="C2288" s="19"/>
      <c r="D2288" s="18">
        <f>15481.25+4765+10517.54</f>
        <v>30763.79</v>
      </c>
    </row>
    <row r="2289" spans="1:4" ht="38.25">
      <c r="A2289" s="19" t="s">
        <v>20</v>
      </c>
      <c r="B2289" s="20" t="s">
        <v>273</v>
      </c>
      <c r="C2289" s="19"/>
      <c r="D2289" s="18">
        <f>1209.04</f>
        <v>1209.04</v>
      </c>
    </row>
    <row r="2290" spans="1:4" ht="38.25">
      <c r="A2290" s="21" t="s">
        <v>293</v>
      </c>
      <c r="B2290" s="20" t="s">
        <v>274</v>
      </c>
      <c r="C2290" s="19"/>
      <c r="D2290" s="18">
        <f>2000.55</f>
        <v>2000.55</v>
      </c>
    </row>
    <row r="2291" spans="1:4" ht="38.25">
      <c r="A2291" s="21" t="s">
        <v>292</v>
      </c>
      <c r="B2291" s="20" t="s">
        <v>275</v>
      </c>
      <c r="C2291" s="19"/>
      <c r="D2291" s="18">
        <f>2541.04+956+2136.13</f>
        <v>5633.17</v>
      </c>
    </row>
    <row r="2292" spans="1:4" ht="38.25">
      <c r="A2292" s="21" t="s">
        <v>294</v>
      </c>
      <c r="B2292" s="20" t="s">
        <v>276</v>
      </c>
      <c r="C2292" s="19"/>
      <c r="D2292" s="18">
        <v>2657</v>
      </c>
    </row>
    <row r="2293" spans="1:4" ht="25.5">
      <c r="A2293" s="21" t="s">
        <v>295</v>
      </c>
      <c r="B2293" s="20" t="s">
        <v>277</v>
      </c>
      <c r="C2293" s="19"/>
      <c r="D2293" s="18"/>
    </row>
    <row r="2294" spans="1:4" ht="12.75">
      <c r="A2294" s="19" t="s">
        <v>278</v>
      </c>
      <c r="B2294" s="19" t="s">
        <v>279</v>
      </c>
      <c r="C2294" s="19"/>
      <c r="D2294" s="18"/>
    </row>
    <row r="2295" spans="1:4" ht="12.75">
      <c r="A2295" s="19" t="s">
        <v>280</v>
      </c>
      <c r="B2295" s="19"/>
      <c r="C2295" s="19"/>
      <c r="D2295" s="18"/>
    </row>
    <row r="2296" spans="1:4" ht="12.75">
      <c r="A2296" s="19" t="s">
        <v>281</v>
      </c>
      <c r="B2296" s="19"/>
      <c r="C2296" s="19"/>
      <c r="D2296" s="18"/>
    </row>
    <row r="2297" spans="1:4" ht="12.75">
      <c r="A2297" s="19" t="s">
        <v>282</v>
      </c>
      <c r="B2297" s="19"/>
      <c r="C2297" s="19"/>
      <c r="D2297" s="18"/>
    </row>
    <row r="2298" ht="12.75">
      <c r="A2298" s="1"/>
    </row>
    <row r="2299" ht="12.75">
      <c r="A2299" s="1" t="s">
        <v>283</v>
      </c>
    </row>
    <row r="2300" ht="12.75">
      <c r="A2300" s="1" t="s">
        <v>284</v>
      </c>
    </row>
    <row r="2301" ht="12.75">
      <c r="A2301" s="1"/>
    </row>
    <row r="2302" ht="12.75">
      <c r="A2302" s="1" t="s">
        <v>285</v>
      </c>
    </row>
    <row r="2303" ht="12.75">
      <c r="A2303" s="1"/>
    </row>
    <row r="2304" ht="12.75">
      <c r="A2304" s="1" t="s">
        <v>286</v>
      </c>
    </row>
    <row r="2305" ht="12.75">
      <c r="A2305" s="1" t="s">
        <v>287</v>
      </c>
    </row>
    <row r="2306" ht="12.75">
      <c r="A2306" s="9"/>
    </row>
    <row r="2307" ht="12.75">
      <c r="A2307" s="9"/>
    </row>
    <row r="2308" spans="1:4" ht="37.5" customHeight="1">
      <c r="A2308" s="49" t="s">
        <v>288</v>
      </c>
      <c r="B2308" s="49"/>
      <c r="C2308" s="49"/>
      <c r="D2308" s="49"/>
    </row>
    <row r="2309" ht="12.75">
      <c r="A2309" s="10"/>
    </row>
    <row r="2310" ht="12.75">
      <c r="A2310" s="10"/>
    </row>
    <row r="2311" ht="12.75">
      <c r="A2311" s="10"/>
    </row>
    <row r="2312" ht="12.75">
      <c r="A2312" s="1" t="s">
        <v>286</v>
      </c>
    </row>
    <row r="2313" ht="12.75">
      <c r="A2313" s="1" t="s">
        <v>289</v>
      </c>
    </row>
    <row r="2314" ht="12.75">
      <c r="A2314" s="11"/>
    </row>
    <row r="2317" spans="1:12" ht="15.75">
      <c r="A2317" s="46" t="s">
        <v>262</v>
      </c>
      <c r="B2317" s="46"/>
      <c r="C2317" s="46"/>
      <c r="D2317" s="46"/>
      <c r="E2317" s="46"/>
      <c r="F2317" s="46"/>
      <c r="G2317" s="46"/>
      <c r="H2317" s="46"/>
      <c r="I2317" s="46"/>
      <c r="J2317" s="46"/>
      <c r="K2317" s="46"/>
      <c r="L2317" s="14"/>
    </row>
    <row r="2318" spans="1:12" ht="15.75">
      <c r="A2318" s="46" t="s">
        <v>291</v>
      </c>
      <c r="B2318" s="46"/>
      <c r="C2318" s="46"/>
      <c r="D2318" s="46"/>
      <c r="E2318" s="46"/>
      <c r="F2318" s="46"/>
      <c r="G2318" s="46"/>
      <c r="H2318" s="46"/>
      <c r="I2318" s="46"/>
      <c r="J2318" s="46"/>
      <c r="K2318" s="14"/>
      <c r="L2318" s="14"/>
    </row>
    <row r="2319" spans="1:12" ht="15.75">
      <c r="A2319" s="46" t="s">
        <v>350</v>
      </c>
      <c r="B2319" s="46"/>
      <c r="C2319" s="46"/>
      <c r="D2319" s="46"/>
      <c r="E2319" s="46"/>
      <c r="F2319" s="46"/>
      <c r="G2319" s="46"/>
      <c r="H2319" s="46"/>
      <c r="I2319" s="46"/>
      <c r="J2319" s="46"/>
      <c r="K2319" s="46"/>
      <c r="L2319" s="46"/>
    </row>
    <row r="2320" spans="1:12" ht="54.75" customHeight="1">
      <c r="A2320" s="47" t="s">
        <v>290</v>
      </c>
      <c r="B2320" s="47"/>
      <c r="C2320" s="47"/>
      <c r="D2320" s="47"/>
      <c r="E2320" s="47"/>
      <c r="F2320" s="47"/>
      <c r="G2320" s="47"/>
      <c r="H2320" s="47"/>
      <c r="I2320" s="47"/>
      <c r="J2320" s="47"/>
      <c r="K2320" s="16"/>
      <c r="L2320" s="16"/>
    </row>
    <row r="2321" spans="1:12" ht="12.75">
      <c r="A2321" s="12"/>
      <c r="B2321" s="12"/>
      <c r="C2321" s="12"/>
      <c r="D2321" s="12"/>
      <c r="E2321" s="12"/>
      <c r="F2321" s="12"/>
      <c r="G2321" s="12"/>
      <c r="H2321" s="12"/>
      <c r="I2321" s="12"/>
      <c r="J2321" s="12"/>
      <c r="K2321" s="13"/>
      <c r="L2321" s="13"/>
    </row>
    <row r="2322" spans="1:12" ht="12.75">
      <c r="A2322" s="18" t="s">
        <v>264</v>
      </c>
      <c r="B2322" s="48" t="s">
        <v>266</v>
      </c>
      <c r="C2322" s="48" t="s">
        <v>267</v>
      </c>
      <c r="D2322" s="18" t="s">
        <v>268</v>
      </c>
      <c r="K2322" s="13"/>
      <c r="L2322" s="13"/>
    </row>
    <row r="2323" spans="1:4" ht="12.75">
      <c r="A2323" s="18" t="s">
        <v>265</v>
      </c>
      <c r="B2323" s="48"/>
      <c r="C2323" s="48"/>
      <c r="D2323" s="18" t="s">
        <v>269</v>
      </c>
    </row>
    <row r="2324" spans="1:4" ht="38.25">
      <c r="A2324" s="19" t="s">
        <v>270</v>
      </c>
      <c r="B2324" s="19" t="s">
        <v>271</v>
      </c>
      <c r="C2324" s="19"/>
      <c r="D2324" s="18">
        <f>D2325+D2326+D2327+D2328+D2329+D2330</f>
        <v>23600.870000000003</v>
      </c>
    </row>
    <row r="2325" spans="1:4" ht="38.25">
      <c r="A2325" s="19" t="s">
        <v>19</v>
      </c>
      <c r="B2325" s="20" t="s">
        <v>272</v>
      </c>
      <c r="C2325" s="19"/>
      <c r="D2325" s="18">
        <f>13435.93+5078.83</f>
        <v>18514.760000000002</v>
      </c>
    </row>
    <row r="2326" spans="1:4" ht="38.25">
      <c r="A2326" s="19" t="s">
        <v>20</v>
      </c>
      <c r="B2326" s="20" t="s">
        <v>273</v>
      </c>
      <c r="C2326" s="19"/>
      <c r="D2326" s="18"/>
    </row>
    <row r="2327" spans="1:4" ht="38.25">
      <c r="A2327" s="21" t="s">
        <v>293</v>
      </c>
      <c r="B2327" s="20" t="s">
        <v>274</v>
      </c>
      <c r="C2327" s="19"/>
      <c r="D2327" s="18">
        <f>403+3554.99+456.56</f>
        <v>4414.55</v>
      </c>
    </row>
    <row r="2328" spans="1:4" ht="38.25">
      <c r="A2328" s="21" t="s">
        <v>292</v>
      </c>
      <c r="B2328" s="20" t="s">
        <v>275</v>
      </c>
      <c r="C2328" s="19"/>
      <c r="D2328" s="18">
        <f>456.56</f>
        <v>456.56</v>
      </c>
    </row>
    <row r="2329" spans="1:4" ht="38.25">
      <c r="A2329" s="21" t="s">
        <v>294</v>
      </c>
      <c r="B2329" s="20" t="s">
        <v>276</v>
      </c>
      <c r="C2329" s="19"/>
      <c r="D2329" s="18"/>
    </row>
    <row r="2330" spans="1:4" ht="25.5">
      <c r="A2330" s="21" t="s">
        <v>295</v>
      </c>
      <c r="B2330" s="20" t="s">
        <v>277</v>
      </c>
      <c r="C2330" s="19"/>
      <c r="D2330" s="18">
        <f>215</f>
        <v>215</v>
      </c>
    </row>
    <row r="2331" spans="1:4" ht="12.75">
      <c r="A2331" s="19" t="s">
        <v>278</v>
      </c>
      <c r="B2331" s="19" t="s">
        <v>279</v>
      </c>
      <c r="C2331" s="19"/>
      <c r="D2331" s="18">
        <f>D2332</f>
        <v>57943.27</v>
      </c>
    </row>
    <row r="2332" spans="1:4" ht="51">
      <c r="A2332" s="19" t="s">
        <v>280</v>
      </c>
      <c r="B2332" s="19" t="s">
        <v>428</v>
      </c>
      <c r="C2332" s="19"/>
      <c r="D2332" s="18">
        <v>57943.27</v>
      </c>
    </row>
    <row r="2333" spans="1:4" ht="12.75">
      <c r="A2333" s="19" t="s">
        <v>281</v>
      </c>
      <c r="B2333" s="19"/>
      <c r="C2333" s="19"/>
      <c r="D2333" s="18"/>
    </row>
    <row r="2334" spans="1:4" ht="12.75">
      <c r="A2334" s="19" t="s">
        <v>282</v>
      </c>
      <c r="B2334" s="19"/>
      <c r="C2334" s="19"/>
      <c r="D2334" s="18"/>
    </row>
    <row r="2335" ht="12.75">
      <c r="A2335" s="1"/>
    </row>
    <row r="2336" ht="12.75">
      <c r="A2336" s="1" t="s">
        <v>283</v>
      </c>
    </row>
    <row r="2337" spans="1:3" ht="12.75">
      <c r="A2337" s="1" t="s">
        <v>284</v>
      </c>
      <c r="C2337" t="s">
        <v>291</v>
      </c>
    </row>
    <row r="2338" ht="12.75">
      <c r="A2338" s="1"/>
    </row>
    <row r="2339" ht="12.75">
      <c r="A2339" s="1" t="s">
        <v>285</v>
      </c>
    </row>
    <row r="2340" ht="12.75">
      <c r="A2340" s="1"/>
    </row>
    <row r="2341" ht="12.75">
      <c r="A2341" s="1" t="s">
        <v>396</v>
      </c>
    </row>
    <row r="2342" ht="12.75">
      <c r="A2342" s="1" t="s">
        <v>287</v>
      </c>
    </row>
    <row r="2343" ht="12.75">
      <c r="A2343" s="9"/>
    </row>
    <row r="2344" ht="12.75">
      <c r="A2344" s="9"/>
    </row>
    <row r="2345" spans="1:4" ht="39.75" customHeight="1">
      <c r="A2345" s="49" t="s">
        <v>288</v>
      </c>
      <c r="B2345" s="49"/>
      <c r="C2345" s="49"/>
      <c r="D2345" s="49"/>
    </row>
    <row r="2346" ht="12.75">
      <c r="A2346" s="10"/>
    </row>
    <row r="2347" ht="12.75">
      <c r="A2347" s="10"/>
    </row>
    <row r="2348" ht="12.75">
      <c r="A2348" s="10"/>
    </row>
    <row r="2349" ht="12.75">
      <c r="A2349" s="1" t="s">
        <v>286</v>
      </c>
    </row>
    <row r="2350" ht="12.75">
      <c r="A2350" s="1" t="s">
        <v>289</v>
      </c>
    </row>
    <row r="2351" ht="12.75">
      <c r="A2351" s="11"/>
    </row>
    <row r="2353" ht="0.75" customHeight="1"/>
    <row r="2354" spans="1:12" ht="15.75">
      <c r="A2354" s="46" t="s">
        <v>262</v>
      </c>
      <c r="B2354" s="46"/>
      <c r="C2354" s="46"/>
      <c r="D2354" s="46"/>
      <c r="E2354" s="46"/>
      <c r="F2354" s="46"/>
      <c r="G2354" s="46"/>
      <c r="H2354" s="46"/>
      <c r="I2354" s="46"/>
      <c r="J2354" s="46"/>
      <c r="K2354" s="46"/>
      <c r="L2354" s="14"/>
    </row>
    <row r="2355" spans="1:12" ht="15.75">
      <c r="A2355" s="46" t="s">
        <v>291</v>
      </c>
      <c r="B2355" s="46"/>
      <c r="C2355" s="46"/>
      <c r="D2355" s="46"/>
      <c r="E2355" s="46"/>
      <c r="F2355" s="46"/>
      <c r="G2355" s="46"/>
      <c r="H2355" s="46"/>
      <c r="I2355" s="46"/>
      <c r="J2355" s="46"/>
      <c r="K2355" s="14"/>
      <c r="L2355" s="14"/>
    </row>
    <row r="2356" spans="1:12" ht="15.75">
      <c r="A2356" s="46" t="s">
        <v>351</v>
      </c>
      <c r="B2356" s="46"/>
      <c r="C2356" s="46"/>
      <c r="D2356" s="46"/>
      <c r="E2356" s="46"/>
      <c r="F2356" s="46"/>
      <c r="G2356" s="46"/>
      <c r="H2356" s="46"/>
      <c r="I2356" s="46"/>
      <c r="J2356" s="46"/>
      <c r="K2356" s="46"/>
      <c r="L2356" s="46"/>
    </row>
    <row r="2357" spans="1:12" ht="55.5" customHeight="1">
      <c r="A2357" s="47" t="s">
        <v>290</v>
      </c>
      <c r="B2357" s="47"/>
      <c r="C2357" s="47"/>
      <c r="D2357" s="47"/>
      <c r="E2357" s="47"/>
      <c r="F2357" s="47"/>
      <c r="G2357" s="47"/>
      <c r="H2357" s="47"/>
      <c r="I2357" s="47"/>
      <c r="J2357" s="47"/>
      <c r="K2357" s="16"/>
      <c r="L2357" s="16"/>
    </row>
    <row r="2358" spans="1:12" ht="12.75">
      <c r="A2358" s="12"/>
      <c r="B2358" s="12"/>
      <c r="C2358" s="12"/>
      <c r="D2358" s="12"/>
      <c r="E2358" s="12"/>
      <c r="F2358" s="12"/>
      <c r="G2358" s="12"/>
      <c r="H2358" s="12"/>
      <c r="I2358" s="12"/>
      <c r="J2358" s="12"/>
      <c r="K2358" s="13"/>
      <c r="L2358" s="13"/>
    </row>
    <row r="2359" spans="1:12" ht="12.75">
      <c r="A2359" s="18" t="s">
        <v>264</v>
      </c>
      <c r="B2359" s="48" t="s">
        <v>266</v>
      </c>
      <c r="C2359" s="48" t="s">
        <v>267</v>
      </c>
      <c r="D2359" s="18" t="s">
        <v>268</v>
      </c>
      <c r="K2359" s="13"/>
      <c r="L2359" s="13"/>
    </row>
    <row r="2360" spans="1:4" ht="12.75">
      <c r="A2360" s="18" t="s">
        <v>265</v>
      </c>
      <c r="B2360" s="48"/>
      <c r="C2360" s="48"/>
      <c r="D2360" s="18" t="s">
        <v>269</v>
      </c>
    </row>
    <row r="2361" spans="1:4" ht="38.25">
      <c r="A2361" s="19" t="s">
        <v>270</v>
      </c>
      <c r="B2361" s="19" t="s">
        <v>271</v>
      </c>
      <c r="C2361" s="19"/>
      <c r="D2361" s="18">
        <f>D2362+D2363+D2364+D2365+D2366+D2367</f>
        <v>194295.74</v>
      </c>
    </row>
    <row r="2362" spans="1:4" ht="38.25">
      <c r="A2362" s="19" t="s">
        <v>19</v>
      </c>
      <c r="B2362" s="20" t="s">
        <v>272</v>
      </c>
      <c r="C2362" s="19"/>
      <c r="D2362" s="18">
        <f>60754</f>
        <v>60754</v>
      </c>
    </row>
    <row r="2363" spans="1:4" ht="38.25">
      <c r="A2363" s="19" t="s">
        <v>20</v>
      </c>
      <c r="B2363" s="20" t="s">
        <v>273</v>
      </c>
      <c r="C2363" s="19"/>
      <c r="D2363" s="18">
        <f>1941.74+131600</f>
        <v>133541.74</v>
      </c>
    </row>
    <row r="2364" spans="1:4" ht="38.25">
      <c r="A2364" s="21" t="s">
        <v>293</v>
      </c>
      <c r="B2364" s="20" t="s">
        <v>274</v>
      </c>
      <c r="C2364" s="19"/>
      <c r="D2364" s="18"/>
    </row>
    <row r="2365" spans="1:4" ht="38.25">
      <c r="A2365" s="21" t="s">
        <v>292</v>
      </c>
      <c r="B2365" s="20" t="s">
        <v>275</v>
      </c>
      <c r="C2365" s="19"/>
      <c r="D2365" s="18"/>
    </row>
    <row r="2366" spans="1:4" ht="38.25">
      <c r="A2366" s="21" t="s">
        <v>294</v>
      </c>
      <c r="B2366" s="20" t="s">
        <v>276</v>
      </c>
      <c r="C2366" s="19"/>
      <c r="D2366" s="18"/>
    </row>
    <row r="2367" spans="1:4" ht="25.5">
      <c r="A2367" s="21" t="s">
        <v>295</v>
      </c>
      <c r="B2367" s="20" t="s">
        <v>277</v>
      </c>
      <c r="C2367" s="19"/>
      <c r="D2367" s="18"/>
    </row>
    <row r="2368" spans="1:4" ht="12.75">
      <c r="A2368" s="19" t="s">
        <v>278</v>
      </c>
      <c r="B2368" s="19" t="s">
        <v>279</v>
      </c>
      <c r="C2368" s="19"/>
      <c r="D2368" s="18">
        <f>D2369</f>
        <v>73441.54</v>
      </c>
    </row>
    <row r="2369" spans="1:4" ht="51">
      <c r="A2369" s="19" t="s">
        <v>280</v>
      </c>
      <c r="B2369" s="19" t="s">
        <v>428</v>
      </c>
      <c r="C2369" s="19"/>
      <c r="D2369" s="18">
        <v>73441.54</v>
      </c>
    </row>
    <row r="2370" spans="1:4" ht="12.75">
      <c r="A2370" s="19" t="s">
        <v>281</v>
      </c>
      <c r="B2370" s="19"/>
      <c r="C2370" s="19"/>
      <c r="D2370" s="18"/>
    </row>
    <row r="2371" spans="1:4" ht="12.75">
      <c r="A2371" s="19" t="s">
        <v>282</v>
      </c>
      <c r="B2371" s="19"/>
      <c r="C2371" s="19"/>
      <c r="D2371" s="18"/>
    </row>
    <row r="2372" ht="12.75">
      <c r="A2372" s="1"/>
    </row>
    <row r="2373" ht="12.75">
      <c r="A2373" s="1" t="s">
        <v>283</v>
      </c>
    </row>
    <row r="2374" spans="1:3" ht="12.75">
      <c r="A2374" s="1" t="s">
        <v>284</v>
      </c>
      <c r="C2374" t="s">
        <v>291</v>
      </c>
    </row>
    <row r="2375" ht="12.75">
      <c r="A2375" s="1"/>
    </row>
    <row r="2376" ht="12.75">
      <c r="A2376" s="1" t="s">
        <v>285</v>
      </c>
    </row>
    <row r="2377" ht="12.75">
      <c r="A2377" s="1"/>
    </row>
    <row r="2378" ht="12.75">
      <c r="A2378" s="1" t="s">
        <v>396</v>
      </c>
    </row>
    <row r="2379" ht="12.75">
      <c r="A2379" s="1" t="s">
        <v>287</v>
      </c>
    </row>
    <row r="2380" ht="12.75">
      <c r="A2380" s="9"/>
    </row>
    <row r="2381" ht="12.75">
      <c r="A2381" s="9"/>
    </row>
    <row r="2382" spans="1:4" ht="39" customHeight="1">
      <c r="A2382" s="49" t="s">
        <v>288</v>
      </c>
      <c r="B2382" s="49"/>
      <c r="C2382" s="49"/>
      <c r="D2382" s="49"/>
    </row>
    <row r="2383" ht="6" customHeight="1">
      <c r="A2383" s="10"/>
    </row>
    <row r="2384" ht="12.75" hidden="1">
      <c r="A2384" s="10"/>
    </row>
    <row r="2385" ht="0.75" customHeight="1">
      <c r="A2385" s="10"/>
    </row>
    <row r="2386" ht="12.75">
      <c r="A2386" s="1" t="s">
        <v>286</v>
      </c>
    </row>
    <row r="2387" ht="12.75">
      <c r="A2387" s="1" t="s">
        <v>289</v>
      </c>
    </row>
    <row r="2388" ht="12.75">
      <c r="A2388" s="11"/>
    </row>
    <row r="2389" ht="7.5" customHeight="1"/>
    <row r="2390" ht="12.75" hidden="1"/>
    <row r="2391" spans="1:12" ht="15.75">
      <c r="A2391" s="46" t="s">
        <v>262</v>
      </c>
      <c r="B2391" s="46"/>
      <c r="C2391" s="46"/>
      <c r="D2391" s="46"/>
      <c r="E2391" s="46"/>
      <c r="F2391" s="46"/>
      <c r="G2391" s="46"/>
      <c r="H2391" s="46"/>
      <c r="I2391" s="46"/>
      <c r="J2391" s="46"/>
      <c r="K2391" s="46"/>
      <c r="L2391" s="14"/>
    </row>
    <row r="2392" spans="1:12" ht="15.75">
      <c r="A2392" s="46" t="s">
        <v>291</v>
      </c>
      <c r="B2392" s="46"/>
      <c r="C2392" s="46"/>
      <c r="D2392" s="46"/>
      <c r="E2392" s="46"/>
      <c r="F2392" s="46"/>
      <c r="G2392" s="46"/>
      <c r="H2392" s="46"/>
      <c r="I2392" s="46"/>
      <c r="J2392" s="46"/>
      <c r="K2392" s="14"/>
      <c r="L2392" s="14"/>
    </row>
    <row r="2393" spans="1:12" ht="15.75">
      <c r="A2393" s="46" t="s">
        <v>352</v>
      </c>
      <c r="B2393" s="46"/>
      <c r="C2393" s="46"/>
      <c r="D2393" s="46"/>
      <c r="E2393" s="46"/>
      <c r="F2393" s="46"/>
      <c r="G2393" s="46"/>
      <c r="H2393" s="46"/>
      <c r="I2393" s="46"/>
      <c r="J2393" s="46"/>
      <c r="K2393" s="46"/>
      <c r="L2393" s="46"/>
    </row>
    <row r="2394" spans="1:12" ht="53.25" customHeight="1">
      <c r="A2394" s="47" t="s">
        <v>290</v>
      </c>
      <c r="B2394" s="47"/>
      <c r="C2394" s="47"/>
      <c r="D2394" s="47"/>
      <c r="E2394" s="47"/>
      <c r="F2394" s="47"/>
      <c r="G2394" s="47"/>
      <c r="H2394" s="47"/>
      <c r="I2394" s="47"/>
      <c r="J2394" s="47"/>
      <c r="K2394" s="16"/>
      <c r="L2394" s="16"/>
    </row>
    <row r="2395" spans="1:12" ht="12.75">
      <c r="A2395" s="12"/>
      <c r="B2395" s="12"/>
      <c r="C2395" s="12"/>
      <c r="D2395" s="12"/>
      <c r="E2395" s="12"/>
      <c r="F2395" s="12"/>
      <c r="G2395" s="12"/>
      <c r="H2395" s="12"/>
      <c r="I2395" s="12"/>
      <c r="J2395" s="12"/>
      <c r="K2395" s="13"/>
      <c r="L2395" s="13"/>
    </row>
    <row r="2396" spans="1:12" ht="12.75">
      <c r="A2396" s="18" t="s">
        <v>264</v>
      </c>
      <c r="B2396" s="48" t="s">
        <v>266</v>
      </c>
      <c r="C2396" s="48" t="s">
        <v>267</v>
      </c>
      <c r="D2396" s="18" t="s">
        <v>268</v>
      </c>
      <c r="K2396" s="13"/>
      <c r="L2396" s="13"/>
    </row>
    <row r="2397" spans="1:4" ht="12.75">
      <c r="A2397" s="18" t="s">
        <v>265</v>
      </c>
      <c r="B2397" s="48"/>
      <c r="C2397" s="48"/>
      <c r="D2397" s="18" t="s">
        <v>269</v>
      </c>
    </row>
    <row r="2398" spans="1:4" ht="38.25">
      <c r="A2398" s="19" t="s">
        <v>270</v>
      </c>
      <c r="B2398" s="19" t="s">
        <v>271</v>
      </c>
      <c r="C2398" s="19"/>
      <c r="D2398" s="18">
        <f>D2399+D2400+D2401+D2402+D2403+D2404</f>
        <v>40625.37</v>
      </c>
    </row>
    <row r="2399" spans="1:4" ht="38.25">
      <c r="A2399" s="19" t="s">
        <v>19</v>
      </c>
      <c r="B2399" s="20" t="s">
        <v>272</v>
      </c>
      <c r="C2399" s="19"/>
      <c r="D2399" s="18">
        <f>5682.78</f>
        <v>5682.78</v>
      </c>
    </row>
    <row r="2400" spans="1:4" ht="38.25">
      <c r="A2400" s="19" t="s">
        <v>20</v>
      </c>
      <c r="B2400" s="20" t="s">
        <v>273</v>
      </c>
      <c r="C2400" s="19"/>
      <c r="D2400" s="18">
        <f>26059.63</f>
        <v>26059.63</v>
      </c>
    </row>
    <row r="2401" spans="1:4" ht="38.25">
      <c r="A2401" s="21" t="s">
        <v>293</v>
      </c>
      <c r="B2401" s="20" t="s">
        <v>274</v>
      </c>
      <c r="C2401" s="19"/>
      <c r="D2401" s="18">
        <f>5000</f>
        <v>5000</v>
      </c>
    </row>
    <row r="2402" spans="1:4" ht="38.25">
      <c r="A2402" s="21" t="s">
        <v>292</v>
      </c>
      <c r="B2402" s="20" t="s">
        <v>275</v>
      </c>
      <c r="C2402" s="19"/>
      <c r="D2402" s="18">
        <f>345.99</f>
        <v>345.99</v>
      </c>
    </row>
    <row r="2403" spans="1:4" ht="38.25">
      <c r="A2403" s="21" t="s">
        <v>294</v>
      </c>
      <c r="B2403" s="20" t="s">
        <v>276</v>
      </c>
      <c r="C2403" s="19"/>
      <c r="D2403" s="18">
        <f>3536.97</f>
        <v>3536.97</v>
      </c>
    </row>
    <row r="2404" spans="1:4" ht="25.5">
      <c r="A2404" s="21" t="s">
        <v>295</v>
      </c>
      <c r="B2404" s="20" t="s">
        <v>277</v>
      </c>
      <c r="C2404" s="19"/>
      <c r="D2404" s="18"/>
    </row>
    <row r="2405" spans="1:4" ht="12.75">
      <c r="A2405" s="19" t="s">
        <v>278</v>
      </c>
      <c r="B2405" s="19" t="s">
        <v>279</v>
      </c>
      <c r="C2405" s="19"/>
      <c r="D2405" s="18"/>
    </row>
    <row r="2406" spans="1:4" ht="12.75">
      <c r="A2406" s="19" t="s">
        <v>280</v>
      </c>
      <c r="B2406" s="19"/>
      <c r="C2406" s="19"/>
      <c r="D2406" s="18"/>
    </row>
    <row r="2407" spans="1:4" ht="12.75">
      <c r="A2407" s="19" t="s">
        <v>281</v>
      </c>
      <c r="B2407" s="19"/>
      <c r="C2407" s="19"/>
      <c r="D2407" s="18"/>
    </row>
    <row r="2408" spans="1:4" ht="12.75">
      <c r="A2408" s="19" t="s">
        <v>282</v>
      </c>
      <c r="B2408" s="19"/>
      <c r="C2408" s="19"/>
      <c r="D2408" s="18"/>
    </row>
    <row r="2409" ht="12.75">
      <c r="A2409" s="1"/>
    </row>
    <row r="2410" ht="12.75">
      <c r="A2410" s="1" t="s">
        <v>283</v>
      </c>
    </row>
    <row r="2411" spans="1:3" ht="12.75">
      <c r="A2411" s="1" t="s">
        <v>284</v>
      </c>
      <c r="C2411" t="s">
        <v>291</v>
      </c>
    </row>
    <row r="2412" ht="12.75">
      <c r="A2412" s="1"/>
    </row>
    <row r="2413" ht="12.75">
      <c r="A2413" s="1" t="s">
        <v>285</v>
      </c>
    </row>
    <row r="2414" ht="12.75">
      <c r="A2414" s="1"/>
    </row>
    <row r="2415" ht="12.75">
      <c r="A2415" s="1" t="s">
        <v>396</v>
      </c>
    </row>
    <row r="2416" ht="12.75">
      <c r="A2416" s="1" t="s">
        <v>287</v>
      </c>
    </row>
    <row r="2417" ht="12.75">
      <c r="A2417" s="9"/>
    </row>
    <row r="2418" ht="12.75">
      <c r="A2418" s="9"/>
    </row>
    <row r="2419" spans="1:4" ht="37.5" customHeight="1">
      <c r="A2419" s="49" t="s">
        <v>288</v>
      </c>
      <c r="B2419" s="49"/>
      <c r="C2419" s="49"/>
      <c r="D2419" s="49"/>
    </row>
    <row r="2420" ht="12.75">
      <c r="A2420" s="10"/>
    </row>
    <row r="2421" ht="12.75">
      <c r="A2421" s="10"/>
    </row>
    <row r="2422" ht="12.75">
      <c r="A2422" s="10"/>
    </row>
    <row r="2423" ht="12.75">
      <c r="A2423" s="1" t="s">
        <v>286</v>
      </c>
    </row>
    <row r="2424" ht="12.75">
      <c r="A2424" s="1" t="s">
        <v>289</v>
      </c>
    </row>
    <row r="2425" ht="12.75">
      <c r="A2425" s="11"/>
    </row>
    <row r="2426" ht="12.75" hidden="1"/>
    <row r="2427" ht="14.25" customHeight="1"/>
    <row r="2428" spans="1:12" ht="15.75">
      <c r="A2428" s="46" t="s">
        <v>262</v>
      </c>
      <c r="B2428" s="46"/>
      <c r="C2428" s="46"/>
      <c r="D2428" s="46"/>
      <c r="E2428" s="46"/>
      <c r="F2428" s="46"/>
      <c r="G2428" s="46"/>
      <c r="H2428" s="46"/>
      <c r="I2428" s="46"/>
      <c r="J2428" s="46"/>
      <c r="K2428" s="46"/>
      <c r="L2428" s="14"/>
    </row>
    <row r="2429" spans="1:12" ht="15.75">
      <c r="A2429" s="46" t="s">
        <v>291</v>
      </c>
      <c r="B2429" s="46"/>
      <c r="C2429" s="46"/>
      <c r="D2429" s="46"/>
      <c r="E2429" s="46"/>
      <c r="F2429" s="46"/>
      <c r="G2429" s="46"/>
      <c r="H2429" s="46"/>
      <c r="I2429" s="46"/>
      <c r="J2429" s="46"/>
      <c r="K2429" s="14"/>
      <c r="L2429" s="14"/>
    </row>
    <row r="2430" spans="1:12" ht="15.75">
      <c r="A2430" s="46" t="s">
        <v>353</v>
      </c>
      <c r="B2430" s="46"/>
      <c r="C2430" s="46"/>
      <c r="D2430" s="46"/>
      <c r="E2430" s="46"/>
      <c r="F2430" s="46"/>
      <c r="G2430" s="46"/>
      <c r="H2430" s="46"/>
      <c r="I2430" s="46"/>
      <c r="J2430" s="46"/>
      <c r="K2430" s="46"/>
      <c r="L2430" s="46"/>
    </row>
    <row r="2431" spans="1:12" ht="54" customHeight="1">
      <c r="A2431" s="47" t="s">
        <v>290</v>
      </c>
      <c r="B2431" s="47"/>
      <c r="C2431" s="47"/>
      <c r="D2431" s="47"/>
      <c r="E2431" s="47"/>
      <c r="F2431" s="47"/>
      <c r="G2431" s="47"/>
      <c r="H2431" s="47"/>
      <c r="I2431" s="47"/>
      <c r="J2431" s="47"/>
      <c r="K2431" s="16"/>
      <c r="L2431" s="16"/>
    </row>
    <row r="2432" spans="1:12" ht="12.75">
      <c r="A2432" s="12"/>
      <c r="B2432" s="12"/>
      <c r="C2432" s="12"/>
      <c r="D2432" s="12"/>
      <c r="E2432" s="12"/>
      <c r="F2432" s="12"/>
      <c r="G2432" s="12"/>
      <c r="H2432" s="12"/>
      <c r="I2432" s="12"/>
      <c r="J2432" s="12"/>
      <c r="K2432" s="13"/>
      <c r="L2432" s="13"/>
    </row>
    <row r="2433" spans="1:12" ht="12.75">
      <c r="A2433" s="18" t="s">
        <v>264</v>
      </c>
      <c r="B2433" s="48" t="s">
        <v>266</v>
      </c>
      <c r="C2433" s="48" t="s">
        <v>267</v>
      </c>
      <c r="D2433" s="18" t="s">
        <v>268</v>
      </c>
      <c r="K2433" s="13"/>
      <c r="L2433" s="13"/>
    </row>
    <row r="2434" spans="1:4" ht="12.75">
      <c r="A2434" s="18" t="s">
        <v>265</v>
      </c>
      <c r="B2434" s="48"/>
      <c r="C2434" s="48"/>
      <c r="D2434" s="18" t="s">
        <v>269</v>
      </c>
    </row>
    <row r="2435" spans="1:4" ht="38.25">
      <c r="A2435" s="19" t="s">
        <v>270</v>
      </c>
      <c r="B2435" s="19" t="s">
        <v>271</v>
      </c>
      <c r="C2435" s="19"/>
      <c r="D2435" s="18">
        <f>D2436+D2437+D2438+D2439+D2440+D2441</f>
        <v>72251.04000000001</v>
      </c>
    </row>
    <row r="2436" spans="1:4" ht="38.25">
      <c r="A2436" s="19" t="s">
        <v>19</v>
      </c>
      <c r="B2436" s="20" t="s">
        <v>272</v>
      </c>
      <c r="C2436" s="19"/>
      <c r="D2436" s="18"/>
    </row>
    <row r="2437" spans="1:4" ht="38.25">
      <c r="A2437" s="19" t="s">
        <v>20</v>
      </c>
      <c r="B2437" s="20" t="s">
        <v>273</v>
      </c>
      <c r="C2437" s="19"/>
      <c r="D2437" s="18">
        <f>63218.04+3664</f>
        <v>66882.04000000001</v>
      </c>
    </row>
    <row r="2438" spans="1:4" ht="38.25">
      <c r="A2438" s="21" t="s">
        <v>293</v>
      </c>
      <c r="B2438" s="20" t="s">
        <v>274</v>
      </c>
      <c r="C2438" s="19"/>
      <c r="D2438" s="18">
        <f>5369</f>
        <v>5369</v>
      </c>
    </row>
    <row r="2439" spans="1:4" ht="38.25">
      <c r="A2439" s="21" t="s">
        <v>292</v>
      </c>
      <c r="B2439" s="20" t="s">
        <v>275</v>
      </c>
      <c r="C2439" s="19"/>
      <c r="D2439" s="18"/>
    </row>
    <row r="2440" spans="1:4" ht="38.25">
      <c r="A2440" s="21" t="s">
        <v>294</v>
      </c>
      <c r="B2440" s="20" t="s">
        <v>276</v>
      </c>
      <c r="C2440" s="19"/>
      <c r="D2440" s="18"/>
    </row>
    <row r="2441" spans="1:4" ht="25.5">
      <c r="A2441" s="21" t="s">
        <v>295</v>
      </c>
      <c r="B2441" s="20" t="s">
        <v>277</v>
      </c>
      <c r="C2441" s="19"/>
      <c r="D2441" s="18"/>
    </row>
    <row r="2442" spans="1:4" ht="12.75">
      <c r="A2442" s="19" t="s">
        <v>278</v>
      </c>
      <c r="B2442" s="19" t="s">
        <v>279</v>
      </c>
      <c r="C2442" s="19"/>
      <c r="D2442" s="18">
        <f>D2443</f>
        <v>0</v>
      </c>
    </row>
    <row r="2443" spans="1:4" ht="12.75">
      <c r="A2443" s="19" t="s">
        <v>280</v>
      </c>
      <c r="B2443" s="19"/>
      <c r="C2443" s="19"/>
      <c r="D2443" s="18"/>
    </row>
    <row r="2444" spans="1:4" ht="12.75">
      <c r="A2444" s="19" t="s">
        <v>281</v>
      </c>
      <c r="B2444" s="19"/>
      <c r="C2444" s="19"/>
      <c r="D2444" s="18"/>
    </row>
    <row r="2445" spans="1:4" ht="12.75">
      <c r="A2445" s="19" t="s">
        <v>282</v>
      </c>
      <c r="B2445" s="19"/>
      <c r="C2445" s="19"/>
      <c r="D2445" s="18"/>
    </row>
    <row r="2446" ht="12.75">
      <c r="A2446" s="1"/>
    </row>
    <row r="2447" ht="12.75">
      <c r="A2447" s="1" t="s">
        <v>283</v>
      </c>
    </row>
    <row r="2448" spans="1:3" ht="12.75">
      <c r="A2448" s="1" t="s">
        <v>284</v>
      </c>
      <c r="C2448" t="s">
        <v>291</v>
      </c>
    </row>
    <row r="2449" ht="12.75">
      <c r="A2449" s="1"/>
    </row>
    <row r="2450" ht="12.75">
      <c r="A2450" s="1" t="s">
        <v>285</v>
      </c>
    </row>
    <row r="2451" ht="12.75">
      <c r="A2451" s="1"/>
    </row>
    <row r="2452" ht="12.75">
      <c r="A2452" s="1" t="s">
        <v>396</v>
      </c>
    </row>
    <row r="2453" ht="12.75">
      <c r="A2453" s="1" t="s">
        <v>287</v>
      </c>
    </row>
    <row r="2454" ht="12.75">
      <c r="A2454" s="9"/>
    </row>
    <row r="2455" ht="12.75">
      <c r="A2455" s="9"/>
    </row>
    <row r="2456" spans="1:4" ht="38.25" customHeight="1">
      <c r="A2456" s="49" t="s">
        <v>288</v>
      </c>
      <c r="B2456" s="49"/>
      <c r="C2456" s="49"/>
      <c r="D2456" s="49"/>
    </row>
    <row r="2457" ht="12.75">
      <c r="A2457" s="10"/>
    </row>
    <row r="2458" ht="12.75">
      <c r="A2458" s="10"/>
    </row>
    <row r="2459" ht="12.75">
      <c r="A2459" s="10"/>
    </row>
    <row r="2460" ht="11.25" customHeight="1">
      <c r="A2460" s="1" t="s">
        <v>286</v>
      </c>
    </row>
    <row r="2461" ht="12.75" customHeight="1" hidden="1">
      <c r="A2461" s="1" t="s">
        <v>289</v>
      </c>
    </row>
    <row r="2462" ht="12.75" hidden="1">
      <c r="A2462" s="11"/>
    </row>
    <row r="2463" ht="12.75" hidden="1"/>
    <row r="2464" ht="30" customHeight="1"/>
    <row r="2465" spans="1:12" ht="15.75">
      <c r="A2465" s="46" t="s">
        <v>262</v>
      </c>
      <c r="B2465" s="46"/>
      <c r="C2465" s="46"/>
      <c r="D2465" s="46"/>
      <c r="E2465" s="46"/>
      <c r="F2465" s="46"/>
      <c r="G2465" s="46"/>
      <c r="H2465" s="46"/>
      <c r="I2465" s="46"/>
      <c r="J2465" s="46"/>
      <c r="K2465" s="46"/>
      <c r="L2465" s="14"/>
    </row>
    <row r="2466" spans="1:12" ht="15.75">
      <c r="A2466" s="46" t="s">
        <v>291</v>
      </c>
      <c r="B2466" s="46"/>
      <c r="C2466" s="46"/>
      <c r="D2466" s="46"/>
      <c r="E2466" s="46"/>
      <c r="F2466" s="46"/>
      <c r="G2466" s="46"/>
      <c r="H2466" s="46"/>
      <c r="I2466" s="46"/>
      <c r="J2466" s="46"/>
      <c r="K2466" s="14"/>
      <c r="L2466" s="14"/>
    </row>
    <row r="2467" spans="1:12" ht="15.75">
      <c r="A2467" s="46" t="s">
        <v>354</v>
      </c>
      <c r="B2467" s="46"/>
      <c r="C2467" s="46"/>
      <c r="D2467" s="46"/>
      <c r="E2467" s="46"/>
      <c r="F2467" s="46"/>
      <c r="G2467" s="46"/>
      <c r="H2467" s="46"/>
      <c r="I2467" s="46"/>
      <c r="J2467" s="46"/>
      <c r="K2467" s="46"/>
      <c r="L2467" s="46"/>
    </row>
    <row r="2468" spans="1:12" ht="54" customHeight="1">
      <c r="A2468" s="47" t="s">
        <v>290</v>
      </c>
      <c r="B2468" s="47"/>
      <c r="C2468" s="47"/>
      <c r="D2468" s="47"/>
      <c r="E2468" s="47"/>
      <c r="F2468" s="47"/>
      <c r="G2468" s="47"/>
      <c r="H2468" s="47"/>
      <c r="I2468" s="47"/>
      <c r="J2468" s="47"/>
      <c r="K2468" s="16"/>
      <c r="L2468" s="16"/>
    </row>
    <row r="2469" spans="1:12" ht="12.75">
      <c r="A2469" s="12"/>
      <c r="B2469" s="12"/>
      <c r="C2469" s="12"/>
      <c r="D2469" s="12"/>
      <c r="E2469" s="12"/>
      <c r="F2469" s="12"/>
      <c r="G2469" s="12"/>
      <c r="H2469" s="12"/>
      <c r="I2469" s="12"/>
      <c r="J2469" s="12"/>
      <c r="K2469" s="13"/>
      <c r="L2469" s="13"/>
    </row>
    <row r="2470" spans="1:12" ht="12.75">
      <c r="A2470" s="18" t="s">
        <v>264</v>
      </c>
      <c r="B2470" s="48" t="s">
        <v>266</v>
      </c>
      <c r="C2470" s="48" t="s">
        <v>267</v>
      </c>
      <c r="D2470" s="18" t="s">
        <v>268</v>
      </c>
      <c r="K2470" s="13"/>
      <c r="L2470" s="13"/>
    </row>
    <row r="2471" spans="1:4" ht="12.75">
      <c r="A2471" s="18" t="s">
        <v>265</v>
      </c>
      <c r="B2471" s="48"/>
      <c r="C2471" s="48"/>
      <c r="D2471" s="18" t="s">
        <v>269</v>
      </c>
    </row>
    <row r="2472" spans="1:4" ht="38.25">
      <c r="A2472" s="19" t="s">
        <v>270</v>
      </c>
      <c r="B2472" s="19" t="s">
        <v>271</v>
      </c>
      <c r="C2472" s="19"/>
      <c r="D2472" s="18">
        <f>D2473+D2474+D2475+D2476+D2477+D2478</f>
        <v>201857.34000000003</v>
      </c>
    </row>
    <row r="2473" spans="1:4" ht="38.25">
      <c r="A2473" s="19" t="s">
        <v>19</v>
      </c>
      <c r="B2473" s="20" t="s">
        <v>272</v>
      </c>
      <c r="C2473" s="19"/>
      <c r="D2473" s="18">
        <f>501+3000</f>
        <v>3501</v>
      </c>
    </row>
    <row r="2474" spans="1:4" ht="38.25">
      <c r="A2474" s="19" t="s">
        <v>20</v>
      </c>
      <c r="B2474" s="20" t="s">
        <v>273</v>
      </c>
      <c r="C2474" s="19"/>
      <c r="D2474" s="18">
        <v>193918.7</v>
      </c>
    </row>
    <row r="2475" spans="1:4" ht="38.25">
      <c r="A2475" s="21" t="s">
        <v>293</v>
      </c>
      <c r="B2475" s="20" t="s">
        <v>274</v>
      </c>
      <c r="C2475" s="19"/>
      <c r="D2475" s="18"/>
    </row>
    <row r="2476" spans="1:4" ht="38.25">
      <c r="A2476" s="21" t="s">
        <v>292</v>
      </c>
      <c r="B2476" s="20" t="s">
        <v>275</v>
      </c>
      <c r="C2476" s="19"/>
      <c r="D2476" s="18">
        <f>2035.92+401</f>
        <v>2436.92</v>
      </c>
    </row>
    <row r="2477" spans="1:4" ht="38.25">
      <c r="A2477" s="21" t="s">
        <v>294</v>
      </c>
      <c r="B2477" s="20" t="s">
        <v>276</v>
      </c>
      <c r="C2477" s="19"/>
      <c r="D2477" s="18">
        <v>2000.72</v>
      </c>
    </row>
    <row r="2478" spans="1:4" ht="25.5">
      <c r="A2478" s="21" t="s">
        <v>295</v>
      </c>
      <c r="B2478" s="20" t="s">
        <v>277</v>
      </c>
      <c r="C2478" s="19"/>
      <c r="D2478" s="18"/>
    </row>
    <row r="2479" spans="1:4" ht="12.75">
      <c r="A2479" s="19" t="s">
        <v>278</v>
      </c>
      <c r="B2479" s="19" t="s">
        <v>279</v>
      </c>
      <c r="C2479" s="19"/>
      <c r="D2479" s="18">
        <f>D2480</f>
        <v>0</v>
      </c>
    </row>
    <row r="2480" spans="1:4" ht="12.75">
      <c r="A2480" s="19" t="s">
        <v>280</v>
      </c>
      <c r="B2480" s="19"/>
      <c r="C2480" s="19"/>
      <c r="D2480" s="18"/>
    </row>
    <row r="2481" spans="1:4" ht="12.75">
      <c r="A2481" s="19" t="s">
        <v>281</v>
      </c>
      <c r="B2481" s="19"/>
      <c r="C2481" s="19"/>
      <c r="D2481" s="18"/>
    </row>
    <row r="2482" spans="1:4" ht="12.75">
      <c r="A2482" s="19" t="s">
        <v>282</v>
      </c>
      <c r="B2482" s="19"/>
      <c r="C2482" s="19"/>
      <c r="D2482" s="18"/>
    </row>
    <row r="2483" ht="12.75">
      <c r="A2483" s="1"/>
    </row>
    <row r="2484" ht="12.75">
      <c r="A2484" s="1" t="s">
        <v>283</v>
      </c>
    </row>
    <row r="2485" spans="1:3" ht="12.75">
      <c r="A2485" s="1" t="s">
        <v>284</v>
      </c>
      <c r="C2485" t="s">
        <v>291</v>
      </c>
    </row>
    <row r="2486" ht="12.75">
      <c r="A2486" s="1"/>
    </row>
    <row r="2487" ht="12.75">
      <c r="A2487" s="1" t="s">
        <v>285</v>
      </c>
    </row>
    <row r="2488" ht="12.75">
      <c r="A2488" s="1"/>
    </row>
    <row r="2489" ht="12.75">
      <c r="A2489" s="1" t="s">
        <v>396</v>
      </c>
    </row>
    <row r="2490" ht="12.75">
      <c r="A2490" s="1" t="s">
        <v>287</v>
      </c>
    </row>
    <row r="2491" ht="12.75">
      <c r="A2491" s="9"/>
    </row>
    <row r="2492" ht="12.75">
      <c r="A2492" s="9"/>
    </row>
    <row r="2493" spans="1:4" ht="38.25" customHeight="1">
      <c r="A2493" s="49" t="s">
        <v>288</v>
      </c>
      <c r="B2493" s="49"/>
      <c r="C2493" s="49"/>
      <c r="D2493" s="49"/>
    </row>
    <row r="2494" ht="12.75">
      <c r="A2494" s="10"/>
    </row>
    <row r="2495" ht="12.75">
      <c r="A2495" s="10"/>
    </row>
    <row r="2496" ht="12.75">
      <c r="A2496" s="10"/>
    </row>
    <row r="2497" ht="12.75">
      <c r="A2497" s="1" t="s">
        <v>286</v>
      </c>
    </row>
    <row r="2498" ht="12.75">
      <c r="A2498" s="1" t="s">
        <v>289</v>
      </c>
    </row>
    <row r="2499" ht="12.75">
      <c r="A2499" s="11"/>
    </row>
    <row r="2500" ht="2.25" customHeight="1"/>
    <row r="2501" ht="1.5" customHeight="1" hidden="1"/>
    <row r="2502" ht="14.25" customHeight="1"/>
    <row r="2503" spans="1:12" ht="15.75">
      <c r="A2503" s="46" t="s">
        <v>262</v>
      </c>
      <c r="B2503" s="46"/>
      <c r="C2503" s="46"/>
      <c r="D2503" s="46"/>
      <c r="E2503" s="46"/>
      <c r="F2503" s="46"/>
      <c r="G2503" s="46"/>
      <c r="H2503" s="46"/>
      <c r="I2503" s="46"/>
      <c r="J2503" s="46"/>
      <c r="K2503" s="46"/>
      <c r="L2503" s="14"/>
    </row>
    <row r="2504" spans="1:12" ht="15.75">
      <c r="A2504" s="46" t="s">
        <v>291</v>
      </c>
      <c r="B2504" s="46"/>
      <c r="C2504" s="46"/>
      <c r="D2504" s="46"/>
      <c r="E2504" s="46"/>
      <c r="F2504" s="46"/>
      <c r="G2504" s="46"/>
      <c r="H2504" s="46"/>
      <c r="I2504" s="46"/>
      <c r="J2504" s="46"/>
      <c r="K2504" s="14"/>
      <c r="L2504" s="14"/>
    </row>
    <row r="2505" spans="1:12" ht="15.75">
      <c r="A2505" s="46" t="s">
        <v>355</v>
      </c>
      <c r="B2505" s="46"/>
      <c r="C2505" s="46"/>
      <c r="D2505" s="46"/>
      <c r="E2505" s="46"/>
      <c r="F2505" s="46"/>
      <c r="G2505" s="46"/>
      <c r="H2505" s="46"/>
      <c r="I2505" s="46"/>
      <c r="J2505" s="46"/>
      <c r="K2505" s="46"/>
      <c r="L2505" s="46"/>
    </row>
    <row r="2506" spans="1:12" ht="53.25" customHeight="1">
      <c r="A2506" s="47" t="s">
        <v>290</v>
      </c>
      <c r="B2506" s="47"/>
      <c r="C2506" s="47"/>
      <c r="D2506" s="47"/>
      <c r="E2506" s="47"/>
      <c r="F2506" s="47"/>
      <c r="G2506" s="47"/>
      <c r="H2506" s="47"/>
      <c r="I2506" s="47"/>
      <c r="J2506" s="47"/>
      <c r="K2506" s="16"/>
      <c r="L2506" s="16"/>
    </row>
    <row r="2507" spans="1:12" ht="12.75">
      <c r="A2507" s="12"/>
      <c r="B2507" s="12"/>
      <c r="C2507" s="12"/>
      <c r="D2507" s="12"/>
      <c r="E2507" s="12"/>
      <c r="F2507" s="12"/>
      <c r="G2507" s="12"/>
      <c r="H2507" s="12"/>
      <c r="I2507" s="12"/>
      <c r="J2507" s="12"/>
      <c r="K2507" s="13"/>
      <c r="L2507" s="13"/>
    </row>
    <row r="2508" spans="1:12" ht="12.75">
      <c r="A2508" s="18" t="s">
        <v>264</v>
      </c>
      <c r="B2508" s="48" t="s">
        <v>266</v>
      </c>
      <c r="C2508" s="48" t="s">
        <v>267</v>
      </c>
      <c r="D2508" s="18" t="s">
        <v>268</v>
      </c>
      <c r="K2508" s="13"/>
      <c r="L2508" s="13"/>
    </row>
    <row r="2509" spans="1:4" ht="12.75">
      <c r="A2509" s="18" t="s">
        <v>265</v>
      </c>
      <c r="B2509" s="48"/>
      <c r="C2509" s="48"/>
      <c r="D2509" s="18" t="s">
        <v>269</v>
      </c>
    </row>
    <row r="2510" spans="1:4" ht="38.25">
      <c r="A2510" s="19" t="s">
        <v>270</v>
      </c>
      <c r="B2510" s="19" t="s">
        <v>271</v>
      </c>
      <c r="C2510" s="19"/>
      <c r="D2510" s="18">
        <f>D2511+D2512+D2513+D2514+D2515+D2516+D2517</f>
        <v>123100.11</v>
      </c>
    </row>
    <row r="2511" spans="1:4" ht="38.25">
      <c r="A2511" s="19" t="s">
        <v>19</v>
      </c>
      <c r="B2511" s="20" t="s">
        <v>272</v>
      </c>
      <c r="C2511" s="19"/>
      <c r="D2511" s="18"/>
    </row>
    <row r="2512" spans="1:4" ht="38.25">
      <c r="A2512" s="19" t="s">
        <v>20</v>
      </c>
      <c r="B2512" s="20" t="s">
        <v>273</v>
      </c>
      <c r="C2512" s="19"/>
      <c r="D2512" s="18">
        <f>110604.88</f>
        <v>110604.88</v>
      </c>
    </row>
    <row r="2513" spans="1:4" ht="38.25">
      <c r="A2513" s="21" t="s">
        <v>293</v>
      </c>
      <c r="B2513" s="20" t="s">
        <v>274</v>
      </c>
      <c r="C2513" s="19"/>
      <c r="D2513" s="18"/>
    </row>
    <row r="2514" spans="1:4" ht="38.25">
      <c r="A2514" s="21" t="s">
        <v>292</v>
      </c>
      <c r="B2514" s="20" t="s">
        <v>275</v>
      </c>
      <c r="C2514" s="19"/>
      <c r="D2514" s="18">
        <f>8436.85+2753.38</f>
        <v>11190.23</v>
      </c>
    </row>
    <row r="2515" spans="1:4" ht="38.25">
      <c r="A2515" s="21" t="s">
        <v>294</v>
      </c>
      <c r="B2515" s="20" t="s">
        <v>276</v>
      </c>
      <c r="C2515" s="19"/>
      <c r="D2515" s="18"/>
    </row>
    <row r="2516" spans="1:4" ht="25.5">
      <c r="A2516" s="21" t="s">
        <v>295</v>
      </c>
      <c r="B2516" s="20" t="s">
        <v>277</v>
      </c>
      <c r="C2516" s="19"/>
      <c r="D2516" s="18">
        <v>1305</v>
      </c>
    </row>
    <row r="2517" spans="1:4" ht="12.75">
      <c r="A2517" s="21"/>
      <c r="B2517" s="20"/>
      <c r="C2517" s="19"/>
      <c r="D2517" s="18"/>
    </row>
    <row r="2518" spans="1:4" ht="12.75">
      <c r="A2518" s="19" t="s">
        <v>278</v>
      </c>
      <c r="B2518" s="19" t="s">
        <v>279</v>
      </c>
      <c r="C2518" s="19"/>
      <c r="D2518" s="18"/>
    </row>
    <row r="2519" spans="1:4" ht="12.75">
      <c r="A2519" s="19" t="s">
        <v>280</v>
      </c>
      <c r="B2519" s="19"/>
      <c r="C2519" s="19"/>
      <c r="D2519" s="18"/>
    </row>
    <row r="2520" spans="1:4" ht="12.75">
      <c r="A2520" s="19" t="s">
        <v>281</v>
      </c>
      <c r="B2520" s="19"/>
      <c r="C2520" s="19"/>
      <c r="D2520" s="18"/>
    </row>
    <row r="2521" spans="1:4" ht="12.75">
      <c r="A2521" s="19" t="s">
        <v>282</v>
      </c>
      <c r="B2521" s="19"/>
      <c r="C2521" s="19"/>
      <c r="D2521" s="18"/>
    </row>
    <row r="2522" ht="12.75">
      <c r="A2522" s="1"/>
    </row>
    <row r="2523" ht="12.75">
      <c r="A2523" s="1" t="s">
        <v>283</v>
      </c>
    </row>
    <row r="2524" spans="1:3" ht="12.75">
      <c r="A2524" s="1" t="s">
        <v>284</v>
      </c>
      <c r="C2524" t="s">
        <v>291</v>
      </c>
    </row>
    <row r="2525" ht="12.75">
      <c r="A2525" s="1"/>
    </row>
    <row r="2526" ht="12.75">
      <c r="A2526" s="1" t="s">
        <v>285</v>
      </c>
    </row>
    <row r="2527" ht="12.75">
      <c r="A2527" s="1"/>
    </row>
    <row r="2528" ht="12.75">
      <c r="A2528" s="1" t="s">
        <v>396</v>
      </c>
    </row>
    <row r="2529" ht="12.75">
      <c r="A2529" s="1" t="s">
        <v>287</v>
      </c>
    </row>
    <row r="2530" ht="12.75">
      <c r="A2530" s="9"/>
    </row>
    <row r="2531" ht="12.75">
      <c r="A2531" s="9"/>
    </row>
    <row r="2532" spans="1:4" ht="36" customHeight="1">
      <c r="A2532" s="49" t="s">
        <v>288</v>
      </c>
      <c r="B2532" s="49"/>
      <c r="C2532" s="49"/>
      <c r="D2532" s="49"/>
    </row>
    <row r="2533" ht="12.75">
      <c r="A2533" s="10"/>
    </row>
    <row r="2534" ht="12.75" hidden="1">
      <c r="A2534" s="10"/>
    </row>
    <row r="2535" ht="12.75" hidden="1">
      <c r="A2535" s="10"/>
    </row>
    <row r="2536" ht="12.75">
      <c r="A2536" s="1" t="s">
        <v>286</v>
      </c>
    </row>
    <row r="2537" ht="12.75">
      <c r="A2537" s="1" t="s">
        <v>289</v>
      </c>
    </row>
    <row r="2538" ht="4.5" customHeight="1">
      <c r="A2538" s="11"/>
    </row>
    <row r="2541" spans="1:12" ht="15.75">
      <c r="A2541" s="46" t="s">
        <v>262</v>
      </c>
      <c r="B2541" s="46"/>
      <c r="C2541" s="46"/>
      <c r="D2541" s="46"/>
      <c r="E2541" s="46"/>
      <c r="F2541" s="46"/>
      <c r="G2541" s="46"/>
      <c r="H2541" s="46"/>
      <c r="I2541" s="46"/>
      <c r="J2541" s="46"/>
      <c r="K2541" s="46"/>
      <c r="L2541" s="14"/>
    </row>
    <row r="2542" spans="1:12" ht="15.75">
      <c r="A2542" s="46" t="s">
        <v>291</v>
      </c>
      <c r="B2542" s="46"/>
      <c r="C2542" s="46"/>
      <c r="D2542" s="46"/>
      <c r="E2542" s="46"/>
      <c r="F2542" s="46"/>
      <c r="G2542" s="46"/>
      <c r="H2542" s="46"/>
      <c r="I2542" s="46"/>
      <c r="J2542" s="46"/>
      <c r="K2542" s="14"/>
      <c r="L2542" s="14"/>
    </row>
    <row r="2543" spans="1:12" ht="15.75">
      <c r="A2543" s="46" t="s">
        <v>356</v>
      </c>
      <c r="B2543" s="46"/>
      <c r="C2543" s="46"/>
      <c r="D2543" s="46"/>
      <c r="E2543" s="46"/>
      <c r="F2543" s="46"/>
      <c r="G2543" s="46"/>
      <c r="H2543" s="46"/>
      <c r="I2543" s="46"/>
      <c r="J2543" s="46"/>
      <c r="K2543" s="46"/>
      <c r="L2543" s="46"/>
    </row>
    <row r="2544" spans="1:12" ht="54" customHeight="1">
      <c r="A2544" s="47" t="s">
        <v>290</v>
      </c>
      <c r="B2544" s="47"/>
      <c r="C2544" s="47"/>
      <c r="D2544" s="47"/>
      <c r="E2544" s="47"/>
      <c r="F2544" s="47"/>
      <c r="G2544" s="47"/>
      <c r="H2544" s="47"/>
      <c r="I2544" s="47"/>
      <c r="J2544" s="47"/>
      <c r="K2544" s="16"/>
      <c r="L2544" s="16"/>
    </row>
    <row r="2545" spans="1:12" ht="12.75">
      <c r="A2545" s="12"/>
      <c r="B2545" s="12"/>
      <c r="C2545" s="12"/>
      <c r="D2545" s="12"/>
      <c r="E2545" s="12"/>
      <c r="F2545" s="12"/>
      <c r="G2545" s="12"/>
      <c r="H2545" s="12"/>
      <c r="I2545" s="12"/>
      <c r="J2545" s="12"/>
      <c r="K2545" s="13"/>
      <c r="L2545" s="13"/>
    </row>
    <row r="2546" spans="1:12" ht="12.75">
      <c r="A2546" s="18" t="s">
        <v>264</v>
      </c>
      <c r="B2546" s="48" t="s">
        <v>266</v>
      </c>
      <c r="C2546" s="48" t="s">
        <v>267</v>
      </c>
      <c r="D2546" s="18" t="s">
        <v>268</v>
      </c>
      <c r="K2546" s="13"/>
      <c r="L2546" s="13"/>
    </row>
    <row r="2547" spans="1:4" ht="12.75">
      <c r="A2547" s="18" t="s">
        <v>265</v>
      </c>
      <c r="B2547" s="48"/>
      <c r="C2547" s="48"/>
      <c r="D2547" s="18" t="s">
        <v>269</v>
      </c>
    </row>
    <row r="2548" spans="1:4" ht="38.25">
      <c r="A2548" s="19" t="s">
        <v>270</v>
      </c>
      <c r="B2548" s="19" t="s">
        <v>271</v>
      </c>
      <c r="C2548" s="19"/>
      <c r="D2548" s="18">
        <f>D2549+D2550+D2551+D2552+D2553+D2554</f>
        <v>240709.02000000002</v>
      </c>
    </row>
    <row r="2549" spans="1:4" ht="38.25">
      <c r="A2549" s="19" t="s">
        <v>19</v>
      </c>
      <c r="B2549" s="20" t="s">
        <v>272</v>
      </c>
      <c r="C2549" s="19"/>
      <c r="D2549" s="18">
        <f>1369.12+9783.35+10108.45</f>
        <v>21260.920000000002</v>
      </c>
    </row>
    <row r="2550" spans="1:4" ht="38.25">
      <c r="A2550" s="19" t="s">
        <v>20</v>
      </c>
      <c r="B2550" s="20" t="s">
        <v>273</v>
      </c>
      <c r="C2550" s="19"/>
      <c r="D2550" s="18">
        <f>4000.35+40469.21+174624.54</f>
        <v>219094.1</v>
      </c>
    </row>
    <row r="2551" spans="1:4" ht="38.25">
      <c r="A2551" s="21" t="s">
        <v>293</v>
      </c>
      <c r="B2551" s="20" t="s">
        <v>274</v>
      </c>
      <c r="C2551" s="19"/>
      <c r="D2551" s="18"/>
    </row>
    <row r="2552" spans="1:4" ht="38.25">
      <c r="A2552" s="21" t="s">
        <v>292</v>
      </c>
      <c r="B2552" s="20" t="s">
        <v>275</v>
      </c>
      <c r="C2552" s="19"/>
      <c r="D2552" s="18"/>
    </row>
    <row r="2553" spans="1:4" ht="38.25">
      <c r="A2553" s="21" t="s">
        <v>294</v>
      </c>
      <c r="B2553" s="20" t="s">
        <v>276</v>
      </c>
      <c r="C2553" s="19"/>
      <c r="D2553" s="18"/>
    </row>
    <row r="2554" spans="1:4" ht="25.5">
      <c r="A2554" s="21" t="s">
        <v>295</v>
      </c>
      <c r="B2554" s="20" t="s">
        <v>277</v>
      </c>
      <c r="C2554" s="19"/>
      <c r="D2554" s="18">
        <v>354</v>
      </c>
    </row>
    <row r="2555" spans="1:4" ht="12.75">
      <c r="A2555" s="19" t="s">
        <v>278</v>
      </c>
      <c r="B2555" s="19" t="s">
        <v>279</v>
      </c>
      <c r="C2555" s="19"/>
      <c r="D2555" s="18">
        <f>D2556</f>
        <v>0</v>
      </c>
    </row>
    <row r="2556" spans="1:4" ht="12.75">
      <c r="A2556" s="19" t="s">
        <v>280</v>
      </c>
      <c r="B2556" s="19"/>
      <c r="C2556" s="19"/>
      <c r="D2556" s="18"/>
    </row>
    <row r="2557" spans="1:4" ht="12.75">
      <c r="A2557" s="19" t="s">
        <v>281</v>
      </c>
      <c r="B2557" s="19"/>
      <c r="C2557" s="19"/>
      <c r="D2557" s="18"/>
    </row>
    <row r="2558" spans="1:4" ht="12.75">
      <c r="A2558" s="19" t="s">
        <v>282</v>
      </c>
      <c r="B2558" s="19"/>
      <c r="C2558" s="19"/>
      <c r="D2558" s="18"/>
    </row>
    <row r="2559" ht="12.75">
      <c r="A2559" s="1"/>
    </row>
    <row r="2560" ht="12.75">
      <c r="A2560" s="1" t="s">
        <v>283</v>
      </c>
    </row>
    <row r="2561" spans="1:3" ht="12.75">
      <c r="A2561" s="1" t="s">
        <v>284</v>
      </c>
      <c r="C2561" t="s">
        <v>291</v>
      </c>
    </row>
    <row r="2562" ht="12.75">
      <c r="A2562" s="1"/>
    </row>
    <row r="2563" ht="12.75">
      <c r="A2563" s="1" t="s">
        <v>285</v>
      </c>
    </row>
    <row r="2564" ht="12.75">
      <c r="A2564" s="1"/>
    </row>
    <row r="2565" ht="12.75">
      <c r="A2565" s="1" t="s">
        <v>396</v>
      </c>
    </row>
    <row r="2566" ht="12.75">
      <c r="A2566" s="1" t="s">
        <v>287</v>
      </c>
    </row>
    <row r="2567" ht="12.75">
      <c r="A2567" s="9"/>
    </row>
    <row r="2568" ht="12.75">
      <c r="A2568" s="9"/>
    </row>
    <row r="2569" spans="1:4" ht="39" customHeight="1">
      <c r="A2569" s="49" t="s">
        <v>288</v>
      </c>
      <c r="B2569" s="49"/>
      <c r="C2569" s="49"/>
      <c r="D2569" s="49"/>
    </row>
    <row r="2570" ht="3.75" customHeight="1">
      <c r="A2570" s="10"/>
    </row>
    <row r="2571" ht="12.75">
      <c r="A2571" s="10"/>
    </row>
    <row r="2572" ht="12.75">
      <c r="A2572" s="10"/>
    </row>
    <row r="2573" ht="12.75">
      <c r="A2573" s="1" t="s">
        <v>286</v>
      </c>
    </row>
    <row r="2574" ht="12.75">
      <c r="A2574" s="1" t="s">
        <v>289</v>
      </c>
    </row>
    <row r="2575" ht="12.75">
      <c r="A2575" s="11"/>
    </row>
    <row r="2577" ht="27" customHeight="1"/>
    <row r="2578" spans="1:12" ht="15.75">
      <c r="A2578" s="46" t="s">
        <v>262</v>
      </c>
      <c r="B2578" s="46"/>
      <c r="C2578" s="46"/>
      <c r="D2578" s="46"/>
      <c r="E2578" s="46"/>
      <c r="F2578" s="46"/>
      <c r="G2578" s="46"/>
      <c r="H2578" s="46"/>
      <c r="I2578" s="46"/>
      <c r="J2578" s="46"/>
      <c r="K2578" s="46"/>
      <c r="L2578" s="14"/>
    </row>
    <row r="2579" spans="1:12" ht="15.75">
      <c r="A2579" s="46" t="s">
        <v>291</v>
      </c>
      <c r="B2579" s="46"/>
      <c r="C2579" s="46"/>
      <c r="D2579" s="46"/>
      <c r="E2579" s="46"/>
      <c r="F2579" s="46"/>
      <c r="G2579" s="46"/>
      <c r="H2579" s="46"/>
      <c r="I2579" s="46"/>
      <c r="J2579" s="46"/>
      <c r="K2579" s="14"/>
      <c r="L2579" s="14"/>
    </row>
    <row r="2580" spans="1:12" ht="15.75">
      <c r="A2580" s="46" t="s">
        <v>357</v>
      </c>
      <c r="B2580" s="46"/>
      <c r="C2580" s="46"/>
      <c r="D2580" s="46"/>
      <c r="E2580" s="46"/>
      <c r="F2580" s="46"/>
      <c r="G2580" s="46"/>
      <c r="H2580" s="46"/>
      <c r="I2580" s="46"/>
      <c r="J2580" s="46"/>
      <c r="K2580" s="46"/>
      <c r="L2580" s="46"/>
    </row>
    <row r="2581" spans="1:12" ht="54" customHeight="1">
      <c r="A2581" s="47" t="s">
        <v>290</v>
      </c>
      <c r="B2581" s="47"/>
      <c r="C2581" s="47"/>
      <c r="D2581" s="47"/>
      <c r="E2581" s="47"/>
      <c r="F2581" s="47"/>
      <c r="G2581" s="47"/>
      <c r="H2581" s="47"/>
      <c r="I2581" s="47"/>
      <c r="J2581" s="47"/>
      <c r="K2581" s="16"/>
      <c r="L2581" s="16"/>
    </row>
    <row r="2582" spans="1:12" ht="12.75">
      <c r="A2582" s="12"/>
      <c r="B2582" s="12"/>
      <c r="C2582" s="12"/>
      <c r="D2582" s="12"/>
      <c r="E2582" s="12"/>
      <c r="F2582" s="12"/>
      <c r="G2582" s="12"/>
      <c r="H2582" s="12"/>
      <c r="I2582" s="12"/>
      <c r="J2582" s="12"/>
      <c r="K2582" s="13"/>
      <c r="L2582" s="13"/>
    </row>
    <row r="2583" spans="1:12" ht="12.75">
      <c r="A2583" s="18" t="s">
        <v>264</v>
      </c>
      <c r="B2583" s="48" t="s">
        <v>266</v>
      </c>
      <c r="C2583" s="48" t="s">
        <v>267</v>
      </c>
      <c r="D2583" s="18" t="s">
        <v>268</v>
      </c>
      <c r="K2583" s="13"/>
      <c r="L2583" s="13"/>
    </row>
    <row r="2584" spans="1:4" ht="12.75">
      <c r="A2584" s="18" t="s">
        <v>265</v>
      </c>
      <c r="B2584" s="48"/>
      <c r="C2584" s="48"/>
      <c r="D2584" s="18" t="s">
        <v>269</v>
      </c>
    </row>
    <row r="2585" spans="1:4" ht="38.25">
      <c r="A2585" s="19" t="s">
        <v>270</v>
      </c>
      <c r="B2585" s="19" t="s">
        <v>271</v>
      </c>
      <c r="C2585" s="19"/>
      <c r="D2585" s="18">
        <f>D2586+D2587+D2588+D2589+D2590+D2591</f>
        <v>33809.25</v>
      </c>
    </row>
    <row r="2586" spans="1:4" ht="39" customHeight="1">
      <c r="A2586" s="19" t="s">
        <v>19</v>
      </c>
      <c r="B2586" s="20" t="s">
        <v>272</v>
      </c>
      <c r="C2586" s="19"/>
      <c r="D2586" s="18"/>
    </row>
    <row r="2587" spans="1:4" ht="38.25">
      <c r="A2587" s="19" t="s">
        <v>20</v>
      </c>
      <c r="B2587" s="20" t="s">
        <v>273</v>
      </c>
      <c r="C2587" s="19"/>
      <c r="D2587" s="18">
        <v>33809.25</v>
      </c>
    </row>
    <row r="2588" spans="1:4" ht="40.5" customHeight="1">
      <c r="A2588" s="21" t="s">
        <v>293</v>
      </c>
      <c r="B2588" s="20" t="s">
        <v>274</v>
      </c>
      <c r="C2588" s="19"/>
      <c r="D2588" s="18"/>
    </row>
    <row r="2589" spans="1:4" ht="38.25">
      <c r="A2589" s="21" t="s">
        <v>292</v>
      </c>
      <c r="B2589" s="20" t="s">
        <v>275</v>
      </c>
      <c r="C2589" s="19"/>
      <c r="D2589" s="18"/>
    </row>
    <row r="2590" spans="1:4" ht="38.25">
      <c r="A2590" s="21" t="s">
        <v>294</v>
      </c>
      <c r="B2590" s="20" t="s">
        <v>276</v>
      </c>
      <c r="C2590" s="19"/>
      <c r="D2590" s="18"/>
    </row>
    <row r="2591" spans="1:4" ht="25.5">
      <c r="A2591" s="21" t="s">
        <v>295</v>
      </c>
      <c r="B2591" s="20" t="s">
        <v>277</v>
      </c>
      <c r="C2591" s="19"/>
      <c r="D2591" s="18"/>
    </row>
    <row r="2592" spans="1:4" ht="12.75">
      <c r="A2592" s="19" t="s">
        <v>278</v>
      </c>
      <c r="B2592" s="19" t="s">
        <v>279</v>
      </c>
      <c r="C2592" s="19"/>
      <c r="D2592" s="18">
        <f>D2593+D2594</f>
        <v>0</v>
      </c>
    </row>
    <row r="2593" spans="1:4" ht="12.75">
      <c r="A2593" s="19" t="s">
        <v>280</v>
      </c>
      <c r="B2593" s="20"/>
      <c r="C2593" s="19"/>
      <c r="D2593" s="18"/>
    </row>
    <row r="2594" spans="1:4" ht="12.75">
      <c r="A2594" s="19" t="s">
        <v>281</v>
      </c>
      <c r="B2594" s="19"/>
      <c r="C2594" s="19"/>
      <c r="D2594" s="18"/>
    </row>
    <row r="2595" spans="1:4" ht="12.75">
      <c r="A2595" s="19" t="s">
        <v>282</v>
      </c>
      <c r="B2595" s="19"/>
      <c r="C2595" s="19"/>
      <c r="D2595" s="18"/>
    </row>
    <row r="2596" ht="12.75">
      <c r="A2596" s="1"/>
    </row>
    <row r="2597" ht="12.75">
      <c r="A2597" s="1" t="s">
        <v>283</v>
      </c>
    </row>
    <row r="2598" spans="1:3" ht="12.75">
      <c r="A2598" s="1" t="s">
        <v>284</v>
      </c>
      <c r="C2598" t="s">
        <v>291</v>
      </c>
    </row>
    <row r="2599" ht="5.25" customHeight="1">
      <c r="A2599" s="1"/>
    </row>
    <row r="2600" ht="12.75">
      <c r="A2600" s="1" t="s">
        <v>285</v>
      </c>
    </row>
    <row r="2601" ht="6" customHeight="1">
      <c r="A2601" s="1"/>
    </row>
    <row r="2602" ht="12.75">
      <c r="A2602" s="1" t="s">
        <v>396</v>
      </c>
    </row>
    <row r="2603" ht="12.75">
      <c r="A2603" s="1" t="s">
        <v>287</v>
      </c>
    </row>
    <row r="2604" ht="12.75">
      <c r="A2604" s="9"/>
    </row>
    <row r="2605" ht="4.5" customHeight="1">
      <c r="A2605" s="9"/>
    </row>
    <row r="2606" spans="1:4" ht="38.25" customHeight="1">
      <c r="A2606" s="49" t="s">
        <v>288</v>
      </c>
      <c r="B2606" s="49"/>
      <c r="C2606" s="49"/>
      <c r="D2606" s="49"/>
    </row>
    <row r="2607" ht="12.75">
      <c r="A2607" s="10"/>
    </row>
    <row r="2608" ht="12.75">
      <c r="A2608" s="10"/>
    </row>
    <row r="2609" ht="12.75">
      <c r="A2609" s="10"/>
    </row>
    <row r="2610" ht="12.75">
      <c r="A2610" s="1" t="s">
        <v>286</v>
      </c>
    </row>
    <row r="2611" ht="12.75">
      <c r="A2611" s="1" t="s">
        <v>289</v>
      </c>
    </row>
    <row r="2612" ht="45" customHeight="1" hidden="1">
      <c r="A2612" s="11"/>
    </row>
    <row r="2613" ht="12.75" hidden="1"/>
    <row r="2614" ht="28.5" customHeight="1"/>
    <row r="2615" spans="1:12" ht="15.75">
      <c r="A2615" s="46" t="s">
        <v>262</v>
      </c>
      <c r="B2615" s="46"/>
      <c r="C2615" s="46"/>
      <c r="D2615" s="46"/>
      <c r="E2615" s="46"/>
      <c r="F2615" s="46"/>
      <c r="G2615" s="46"/>
      <c r="H2615" s="46"/>
      <c r="I2615" s="46"/>
      <c r="J2615" s="46"/>
      <c r="K2615" s="46"/>
      <c r="L2615" s="14"/>
    </row>
    <row r="2616" spans="1:12" ht="15.75">
      <c r="A2616" s="46" t="s">
        <v>291</v>
      </c>
      <c r="B2616" s="46"/>
      <c r="C2616" s="46"/>
      <c r="D2616" s="46"/>
      <c r="E2616" s="46"/>
      <c r="F2616" s="46"/>
      <c r="G2616" s="46"/>
      <c r="H2616" s="46"/>
      <c r="I2616" s="46"/>
      <c r="J2616" s="46"/>
      <c r="K2616" s="14"/>
      <c r="L2616" s="14"/>
    </row>
    <row r="2617" spans="1:12" ht="13.5" customHeight="1">
      <c r="A2617" s="46" t="s">
        <v>358</v>
      </c>
      <c r="B2617" s="46"/>
      <c r="C2617" s="46"/>
      <c r="D2617" s="46"/>
      <c r="E2617" s="46"/>
      <c r="F2617" s="46"/>
      <c r="G2617" s="46"/>
      <c r="H2617" s="46"/>
      <c r="I2617" s="46"/>
      <c r="J2617" s="46"/>
      <c r="K2617" s="46"/>
      <c r="L2617" s="46"/>
    </row>
    <row r="2618" spans="1:12" ht="30" customHeight="1">
      <c r="A2618" s="47" t="s">
        <v>290</v>
      </c>
      <c r="B2618" s="47"/>
      <c r="C2618" s="47"/>
      <c r="D2618" s="47"/>
      <c r="E2618" s="47"/>
      <c r="F2618" s="47"/>
      <c r="G2618" s="47"/>
      <c r="H2618" s="47"/>
      <c r="I2618" s="47"/>
      <c r="J2618" s="47"/>
      <c r="K2618" s="16"/>
      <c r="L2618" s="16"/>
    </row>
    <row r="2619" spans="1:12" ht="12.75">
      <c r="A2619" s="12"/>
      <c r="B2619" s="12"/>
      <c r="C2619" s="12"/>
      <c r="D2619" s="12"/>
      <c r="E2619" s="12"/>
      <c r="F2619" s="12"/>
      <c r="G2619" s="12"/>
      <c r="H2619" s="12"/>
      <c r="I2619" s="12"/>
      <c r="J2619" s="12"/>
      <c r="K2619" s="13"/>
      <c r="L2619" s="13"/>
    </row>
    <row r="2620" spans="1:12" ht="12.75">
      <c r="A2620" s="18" t="s">
        <v>264</v>
      </c>
      <c r="B2620" s="48" t="s">
        <v>266</v>
      </c>
      <c r="C2620" s="48" t="s">
        <v>267</v>
      </c>
      <c r="D2620" s="18" t="s">
        <v>268</v>
      </c>
      <c r="K2620" s="13"/>
      <c r="L2620" s="13"/>
    </row>
    <row r="2621" spans="1:4" ht="12.75">
      <c r="A2621" s="18" t="s">
        <v>265</v>
      </c>
      <c r="B2621" s="48"/>
      <c r="C2621" s="48"/>
      <c r="D2621" s="18" t="s">
        <v>269</v>
      </c>
    </row>
    <row r="2622" spans="1:4" ht="53.25" customHeight="1">
      <c r="A2622" s="19" t="s">
        <v>270</v>
      </c>
      <c r="B2622" s="19" t="s">
        <v>271</v>
      </c>
      <c r="C2622" s="19"/>
      <c r="D2622" s="18">
        <f>D2623+D2624+D2625+D2626+D2627+D2628</f>
        <v>323359.3</v>
      </c>
    </row>
    <row r="2623" spans="1:4" ht="38.25">
      <c r="A2623" s="19" t="s">
        <v>19</v>
      </c>
      <c r="B2623" s="20" t="s">
        <v>272</v>
      </c>
      <c r="C2623" s="19"/>
      <c r="D2623" s="18">
        <f>1153.56+205500+1500+54472.15</f>
        <v>262625.71</v>
      </c>
    </row>
    <row r="2624" spans="1:4" ht="38.25">
      <c r="A2624" s="19" t="s">
        <v>20</v>
      </c>
      <c r="B2624" s="20" t="s">
        <v>273</v>
      </c>
      <c r="C2624" s="19"/>
      <c r="D2624" s="18">
        <f>5490.81+5389+34727+13793.85</f>
        <v>59400.659999999996</v>
      </c>
    </row>
    <row r="2625" spans="1:4" ht="38.25">
      <c r="A2625" s="21" t="s">
        <v>293</v>
      </c>
      <c r="B2625" s="20" t="s">
        <v>274</v>
      </c>
      <c r="C2625" s="19"/>
      <c r="D2625" s="18"/>
    </row>
    <row r="2626" spans="1:4" ht="38.25">
      <c r="A2626" s="21" t="s">
        <v>292</v>
      </c>
      <c r="B2626" s="20" t="s">
        <v>275</v>
      </c>
      <c r="C2626" s="19"/>
      <c r="D2626" s="18">
        <f>876.93+456</f>
        <v>1332.9299999999998</v>
      </c>
    </row>
    <row r="2627" spans="1:4" ht="39.75" customHeight="1">
      <c r="A2627" s="21" t="s">
        <v>294</v>
      </c>
      <c r="B2627" s="20" t="s">
        <v>276</v>
      </c>
      <c r="C2627" s="19"/>
      <c r="D2627" s="18"/>
    </row>
    <row r="2628" spans="1:4" ht="38.25" customHeight="1">
      <c r="A2628" s="21" t="s">
        <v>295</v>
      </c>
      <c r="B2628" s="20" t="s">
        <v>277</v>
      </c>
      <c r="C2628" s="19"/>
      <c r="D2628" s="18"/>
    </row>
    <row r="2629" spans="1:4" ht="12.75">
      <c r="A2629" s="19" t="s">
        <v>278</v>
      </c>
      <c r="B2629" s="19" t="s">
        <v>279</v>
      </c>
      <c r="C2629" s="19"/>
      <c r="D2629" s="18">
        <f>D2630</f>
        <v>70359.2</v>
      </c>
    </row>
    <row r="2630" spans="1:4" ht="39" customHeight="1">
      <c r="A2630" s="19" t="s">
        <v>280</v>
      </c>
      <c r="B2630" s="19" t="s">
        <v>428</v>
      </c>
      <c r="C2630" s="19"/>
      <c r="D2630" s="18">
        <v>70359.2</v>
      </c>
    </row>
    <row r="2631" spans="1:4" ht="12.75">
      <c r="A2631" s="19" t="s">
        <v>282</v>
      </c>
      <c r="B2631" s="19"/>
      <c r="C2631" s="19"/>
      <c r="D2631" s="18"/>
    </row>
    <row r="2632" ht="12.75">
      <c r="A2632" s="1"/>
    </row>
    <row r="2633" ht="12.75">
      <c r="A2633" s="1" t="s">
        <v>283</v>
      </c>
    </row>
    <row r="2634" spans="1:3" ht="12.75">
      <c r="A2634" s="1" t="s">
        <v>284</v>
      </c>
      <c r="C2634" t="s">
        <v>291</v>
      </c>
    </row>
    <row r="2635" ht="12.75">
      <c r="A2635" s="1"/>
    </row>
    <row r="2636" ht="12.75">
      <c r="A2636" s="1" t="s">
        <v>285</v>
      </c>
    </row>
    <row r="2637" ht="12.75">
      <c r="A2637" s="1"/>
    </row>
    <row r="2638" ht="12.75">
      <c r="A2638" s="1" t="s">
        <v>396</v>
      </c>
    </row>
    <row r="2639" ht="12.75">
      <c r="A2639" s="1" t="s">
        <v>287</v>
      </c>
    </row>
    <row r="2640" ht="12.75">
      <c r="A2640" s="9"/>
    </row>
    <row r="2641" ht="12.75">
      <c r="A2641" s="9"/>
    </row>
    <row r="2642" spans="1:4" ht="12.75">
      <c r="A2642" s="49" t="s">
        <v>288</v>
      </c>
      <c r="B2642" s="49"/>
      <c r="C2642" s="49"/>
      <c r="D2642" s="49"/>
    </row>
    <row r="2643" ht="12.75">
      <c r="A2643" s="10"/>
    </row>
    <row r="2644" ht="0.75" customHeight="1">
      <c r="A2644" s="10"/>
    </row>
    <row r="2645" ht="12.75" hidden="1">
      <c r="A2645" s="10"/>
    </row>
    <row r="2646" ht="36.75" customHeight="1">
      <c r="A2646" s="1" t="s">
        <v>286</v>
      </c>
    </row>
    <row r="2647" ht="12.75">
      <c r="A2647" s="1" t="s">
        <v>289</v>
      </c>
    </row>
    <row r="2648" ht="3.75" customHeight="1">
      <c r="A2648" s="11"/>
    </row>
    <row r="2649" ht="12.75" hidden="1"/>
    <row r="2650" ht="75.75" customHeight="1"/>
    <row r="2651" spans="1:12" ht="15.75">
      <c r="A2651" s="46" t="s">
        <v>262</v>
      </c>
      <c r="B2651" s="46"/>
      <c r="C2651" s="46"/>
      <c r="D2651" s="46"/>
      <c r="E2651" s="46"/>
      <c r="F2651" s="46"/>
      <c r="G2651" s="46"/>
      <c r="H2651" s="46"/>
      <c r="I2651" s="46"/>
      <c r="J2651" s="46"/>
      <c r="K2651" s="46"/>
      <c r="L2651" s="14"/>
    </row>
    <row r="2652" spans="1:12" ht="13.5" customHeight="1">
      <c r="A2652" s="46" t="s">
        <v>291</v>
      </c>
      <c r="B2652" s="46"/>
      <c r="C2652" s="46"/>
      <c r="D2652" s="46"/>
      <c r="E2652" s="46"/>
      <c r="F2652" s="46"/>
      <c r="G2652" s="46"/>
      <c r="H2652" s="46"/>
      <c r="I2652" s="46"/>
      <c r="J2652" s="46"/>
      <c r="K2652" s="14"/>
      <c r="L2652" s="14"/>
    </row>
    <row r="2653" spans="1:12" ht="21" customHeight="1">
      <c r="A2653" s="46" t="s">
        <v>359</v>
      </c>
      <c r="B2653" s="46"/>
      <c r="C2653" s="46"/>
      <c r="D2653" s="46"/>
      <c r="E2653" s="46"/>
      <c r="F2653" s="46"/>
      <c r="G2653" s="46"/>
      <c r="H2653" s="46"/>
      <c r="I2653" s="46"/>
      <c r="J2653" s="46"/>
      <c r="K2653" s="46"/>
      <c r="L2653" s="46"/>
    </row>
    <row r="2654" spans="1:12" ht="48" customHeight="1">
      <c r="A2654" s="47" t="s">
        <v>290</v>
      </c>
      <c r="B2654" s="47"/>
      <c r="C2654" s="47"/>
      <c r="D2654" s="47"/>
      <c r="E2654" s="47"/>
      <c r="F2654" s="47"/>
      <c r="G2654" s="47"/>
      <c r="H2654" s="47"/>
      <c r="I2654" s="47"/>
      <c r="J2654" s="47"/>
      <c r="K2654" s="16"/>
      <c r="L2654" s="16"/>
    </row>
    <row r="2655" spans="1:12" ht="12.75">
      <c r="A2655" s="12"/>
      <c r="B2655" s="12"/>
      <c r="C2655" s="12"/>
      <c r="D2655" s="12"/>
      <c r="E2655" s="12"/>
      <c r="F2655" s="12"/>
      <c r="G2655" s="12"/>
      <c r="H2655" s="12"/>
      <c r="I2655" s="12"/>
      <c r="J2655" s="12"/>
      <c r="K2655" s="13"/>
      <c r="L2655" s="13"/>
    </row>
    <row r="2656" spans="1:12" ht="12.75">
      <c r="A2656" s="18" t="s">
        <v>264</v>
      </c>
      <c r="B2656" s="48" t="s">
        <v>266</v>
      </c>
      <c r="C2656" s="48" t="s">
        <v>267</v>
      </c>
      <c r="D2656" s="18" t="s">
        <v>268</v>
      </c>
      <c r="K2656" s="13"/>
      <c r="L2656" s="13"/>
    </row>
    <row r="2657" spans="1:4" ht="12.75">
      <c r="A2657" s="18" t="s">
        <v>265</v>
      </c>
      <c r="B2657" s="48"/>
      <c r="C2657" s="48"/>
      <c r="D2657" s="18" t="s">
        <v>269</v>
      </c>
    </row>
    <row r="2658" spans="1:4" ht="55.5" customHeight="1">
      <c r="A2658" s="19" t="s">
        <v>270</v>
      </c>
      <c r="B2658" s="19" t="s">
        <v>271</v>
      </c>
      <c r="C2658" s="19"/>
      <c r="D2658" s="18">
        <f>D2659+D2660+D2661+D2662+D2663+D2664</f>
        <v>229626.1</v>
      </c>
    </row>
    <row r="2659" spans="1:4" ht="38.25">
      <c r="A2659" s="19" t="s">
        <v>19</v>
      </c>
      <c r="B2659" s="20" t="s">
        <v>272</v>
      </c>
      <c r="C2659" s="19"/>
      <c r="D2659" s="18">
        <f>2923.57+2310.06+50976</f>
        <v>56209.63</v>
      </c>
    </row>
    <row r="2660" spans="1:4" ht="38.25">
      <c r="A2660" s="19" t="s">
        <v>20</v>
      </c>
      <c r="B2660" s="20" t="s">
        <v>273</v>
      </c>
      <c r="C2660" s="19"/>
      <c r="D2660" s="18">
        <f>983+83464.51</f>
        <v>84447.51</v>
      </c>
    </row>
    <row r="2661" spans="1:4" ht="38.25">
      <c r="A2661" s="21" t="s">
        <v>293</v>
      </c>
      <c r="B2661" s="20" t="s">
        <v>274</v>
      </c>
      <c r="C2661" s="19"/>
      <c r="D2661" s="18">
        <f>2264.01+18242+6376.28</f>
        <v>26882.29</v>
      </c>
    </row>
    <row r="2662" spans="1:4" ht="38.25">
      <c r="A2662" s="21" t="s">
        <v>292</v>
      </c>
      <c r="B2662" s="20" t="s">
        <v>275</v>
      </c>
      <c r="C2662" s="19"/>
      <c r="D2662" s="18">
        <f>6500+18242+4840.98+2000.06</f>
        <v>31583.04</v>
      </c>
    </row>
    <row r="2663" spans="1:4" ht="38.25">
      <c r="A2663" s="21" t="s">
        <v>294</v>
      </c>
      <c r="B2663" s="20" t="s">
        <v>276</v>
      </c>
      <c r="C2663" s="19"/>
      <c r="D2663" s="18"/>
    </row>
    <row r="2664" spans="1:4" ht="25.5">
      <c r="A2664" s="21" t="s">
        <v>295</v>
      </c>
      <c r="B2664" s="20" t="s">
        <v>277</v>
      </c>
      <c r="C2664" s="19"/>
      <c r="D2664" s="18">
        <f>401+29409.63+693</f>
        <v>30503.63</v>
      </c>
    </row>
    <row r="2665" spans="1:4" ht="12.75">
      <c r="A2665" s="19" t="s">
        <v>278</v>
      </c>
      <c r="B2665" s="19" t="s">
        <v>279</v>
      </c>
      <c r="C2665" s="19"/>
      <c r="D2665" s="18">
        <f>D2666</f>
        <v>101515.4</v>
      </c>
    </row>
    <row r="2666" spans="1:4" ht="51">
      <c r="A2666" s="19" t="s">
        <v>280</v>
      </c>
      <c r="B2666" s="19" t="s">
        <v>430</v>
      </c>
      <c r="C2666" s="19"/>
      <c r="D2666" s="18">
        <v>101515.4</v>
      </c>
    </row>
    <row r="2667" spans="1:4" ht="12.75">
      <c r="A2667" s="19" t="s">
        <v>281</v>
      </c>
      <c r="B2667" s="19"/>
      <c r="C2667" s="19"/>
      <c r="D2667" s="18"/>
    </row>
    <row r="2668" spans="1:4" ht="12.75">
      <c r="A2668" s="19" t="s">
        <v>282</v>
      </c>
      <c r="B2668" s="19"/>
      <c r="C2668" s="19"/>
      <c r="D2668" s="18"/>
    </row>
    <row r="2669" ht="12.75">
      <c r="A2669" s="1"/>
    </row>
    <row r="2670" ht="12.75">
      <c r="A2670" s="1" t="s">
        <v>283</v>
      </c>
    </row>
    <row r="2671" spans="1:3" ht="12.75">
      <c r="A2671" s="1" t="s">
        <v>284</v>
      </c>
      <c r="C2671" t="s">
        <v>291</v>
      </c>
    </row>
    <row r="2672" ht="12.75">
      <c r="A2672" s="1"/>
    </row>
    <row r="2673" ht="12.75">
      <c r="A2673" s="1" t="s">
        <v>285</v>
      </c>
    </row>
    <row r="2674" ht="12.75">
      <c r="A2674" s="1"/>
    </row>
    <row r="2675" ht="12.75">
      <c r="A2675" s="1" t="s">
        <v>396</v>
      </c>
    </row>
    <row r="2676" ht="12.75">
      <c r="A2676" s="1" t="s">
        <v>287</v>
      </c>
    </row>
    <row r="2677" ht="12.75">
      <c r="A2677" s="9"/>
    </row>
    <row r="2678" ht="12.75">
      <c r="A2678" s="9"/>
    </row>
    <row r="2679" spans="1:4" ht="12.75" customHeight="1">
      <c r="A2679" s="49" t="s">
        <v>288</v>
      </c>
      <c r="B2679" s="49"/>
      <c r="C2679" s="49"/>
      <c r="D2679" s="49"/>
    </row>
    <row r="2680" ht="12.75">
      <c r="A2680" s="10"/>
    </row>
    <row r="2681" ht="12.75">
      <c r="A2681" s="10"/>
    </row>
    <row r="2682" ht="12.75">
      <c r="A2682" s="10"/>
    </row>
    <row r="2683" ht="38.25" customHeight="1">
      <c r="A2683" s="1" t="s">
        <v>286</v>
      </c>
    </row>
    <row r="2684" ht="12.75">
      <c r="A2684" s="1" t="s">
        <v>289</v>
      </c>
    </row>
    <row r="2685" ht="12.75">
      <c r="A2685" s="11"/>
    </row>
    <row r="2686" ht="12.75">
      <c r="A2686" s="11"/>
    </row>
    <row r="2687" ht="9.75" customHeight="1"/>
    <row r="2688" ht="12.75" hidden="1"/>
    <row r="2689" spans="1:12" ht="15.75">
      <c r="A2689" s="46" t="s">
        <v>262</v>
      </c>
      <c r="B2689" s="46"/>
      <c r="C2689" s="46"/>
      <c r="D2689" s="46"/>
      <c r="E2689" s="46"/>
      <c r="F2689" s="46"/>
      <c r="G2689" s="46"/>
      <c r="H2689" s="46"/>
      <c r="I2689" s="46"/>
      <c r="J2689" s="46"/>
      <c r="K2689" s="46"/>
      <c r="L2689" s="14"/>
    </row>
    <row r="2690" spans="1:12" ht="15.75">
      <c r="A2690" s="46" t="s">
        <v>291</v>
      </c>
      <c r="B2690" s="46"/>
      <c r="C2690" s="46"/>
      <c r="D2690" s="46"/>
      <c r="E2690" s="46"/>
      <c r="F2690" s="46"/>
      <c r="G2690" s="46"/>
      <c r="H2690" s="46"/>
      <c r="I2690" s="46"/>
      <c r="J2690" s="46"/>
      <c r="K2690" s="14"/>
      <c r="L2690" s="14"/>
    </row>
    <row r="2691" spans="1:12" ht="15.75">
      <c r="A2691" s="46" t="s">
        <v>360</v>
      </c>
      <c r="B2691" s="46"/>
      <c r="C2691" s="46"/>
      <c r="D2691" s="46"/>
      <c r="E2691" s="46"/>
      <c r="F2691" s="46"/>
      <c r="G2691" s="46"/>
      <c r="H2691" s="46"/>
      <c r="I2691" s="46"/>
      <c r="J2691" s="46"/>
      <c r="K2691" s="46"/>
      <c r="L2691" s="46"/>
    </row>
    <row r="2692" spans="1:12" ht="15.75">
      <c r="A2692" s="47" t="s">
        <v>290</v>
      </c>
      <c r="B2692" s="47"/>
      <c r="C2692" s="47"/>
      <c r="D2692" s="47"/>
      <c r="E2692" s="47"/>
      <c r="F2692" s="47"/>
      <c r="G2692" s="47"/>
      <c r="H2692" s="47"/>
      <c r="I2692" s="47"/>
      <c r="J2692" s="47"/>
      <c r="K2692" s="16"/>
      <c r="L2692" s="16"/>
    </row>
    <row r="2693" spans="1:12" ht="12.75">
      <c r="A2693" s="12"/>
      <c r="B2693" s="12"/>
      <c r="C2693" s="12"/>
      <c r="D2693" s="12"/>
      <c r="E2693" s="12"/>
      <c r="F2693" s="12"/>
      <c r="G2693" s="12"/>
      <c r="H2693" s="12"/>
      <c r="I2693" s="12"/>
      <c r="J2693" s="12"/>
      <c r="K2693" s="13"/>
      <c r="L2693" s="13"/>
    </row>
    <row r="2694" spans="1:12" ht="12.75">
      <c r="A2694" s="18" t="s">
        <v>264</v>
      </c>
      <c r="B2694" s="48" t="s">
        <v>266</v>
      </c>
      <c r="C2694" s="48" t="s">
        <v>267</v>
      </c>
      <c r="D2694" s="18" t="s">
        <v>268</v>
      </c>
      <c r="K2694" s="13"/>
      <c r="L2694" s="13"/>
    </row>
    <row r="2695" spans="1:4" ht="54" customHeight="1">
      <c r="A2695" s="18" t="s">
        <v>265</v>
      </c>
      <c r="B2695" s="48"/>
      <c r="C2695" s="48"/>
      <c r="D2695" s="18" t="s">
        <v>269</v>
      </c>
    </row>
    <row r="2696" spans="1:4" ht="38.25">
      <c r="A2696" s="19" t="s">
        <v>270</v>
      </c>
      <c r="B2696" s="19" t="s">
        <v>271</v>
      </c>
      <c r="C2696" s="19"/>
      <c r="D2696" s="18">
        <f>D2697+D2698+D2699+D2700+D2701+D2702</f>
        <v>71800.04</v>
      </c>
    </row>
    <row r="2697" spans="1:4" ht="38.25">
      <c r="A2697" s="19" t="s">
        <v>19</v>
      </c>
      <c r="B2697" s="20" t="s">
        <v>272</v>
      </c>
      <c r="C2697" s="19"/>
      <c r="D2697" s="18">
        <f>4125.41+4253.14</f>
        <v>8378.55</v>
      </c>
    </row>
    <row r="2698" spans="1:4" ht="38.25">
      <c r="A2698" s="19" t="s">
        <v>20</v>
      </c>
      <c r="B2698" s="20" t="s">
        <v>273</v>
      </c>
      <c r="C2698" s="19"/>
      <c r="D2698" s="18">
        <f>27309+913.12</f>
        <v>28222.12</v>
      </c>
    </row>
    <row r="2699" spans="1:4" ht="38.25">
      <c r="A2699" s="21" t="s">
        <v>293</v>
      </c>
      <c r="B2699" s="20" t="s">
        <v>274</v>
      </c>
      <c r="C2699" s="19"/>
      <c r="D2699" s="18">
        <f>913.12+16204.76</f>
        <v>17117.88</v>
      </c>
    </row>
    <row r="2700" spans="1:4" ht="38.25">
      <c r="A2700" s="21" t="s">
        <v>292</v>
      </c>
      <c r="B2700" s="20" t="s">
        <v>275</v>
      </c>
      <c r="C2700" s="19"/>
      <c r="D2700" s="18">
        <f>16204.76</f>
        <v>16204.76</v>
      </c>
    </row>
    <row r="2701" spans="1:4" ht="38.25">
      <c r="A2701" s="21" t="s">
        <v>294</v>
      </c>
      <c r="B2701" s="20" t="s">
        <v>276</v>
      </c>
      <c r="C2701" s="19"/>
      <c r="D2701" s="18">
        <f>1876.73</f>
        <v>1876.73</v>
      </c>
    </row>
    <row r="2702" spans="1:4" ht="25.5">
      <c r="A2702" s="21" t="s">
        <v>295</v>
      </c>
      <c r="B2702" s="20" t="s">
        <v>277</v>
      </c>
      <c r="C2702" s="19"/>
      <c r="D2702" s="18"/>
    </row>
    <row r="2703" spans="1:4" ht="12.75">
      <c r="A2703" s="19" t="s">
        <v>278</v>
      </c>
      <c r="B2703" s="19" t="s">
        <v>279</v>
      </c>
      <c r="C2703" s="19"/>
      <c r="D2703" s="18">
        <f>D2704+D2705</f>
        <v>0</v>
      </c>
    </row>
    <row r="2704" spans="1:4" ht="12.75">
      <c r="A2704" s="19" t="s">
        <v>280</v>
      </c>
      <c r="B2704" s="20"/>
      <c r="C2704" s="19"/>
      <c r="D2704" s="18"/>
    </row>
    <row r="2705" spans="1:4" ht="12.75">
      <c r="A2705" s="19" t="s">
        <v>281</v>
      </c>
      <c r="B2705" s="19"/>
      <c r="C2705" s="19"/>
      <c r="D2705" s="18"/>
    </row>
    <row r="2706" spans="1:4" ht="12.75">
      <c r="A2706" s="19" t="s">
        <v>282</v>
      </c>
      <c r="B2706" s="19"/>
      <c r="C2706" s="19"/>
      <c r="D2706" s="18"/>
    </row>
    <row r="2707" ht="12.75">
      <c r="A2707" s="1"/>
    </row>
    <row r="2708" ht="12.75">
      <c r="A2708" s="1" t="s">
        <v>283</v>
      </c>
    </row>
    <row r="2709" ht="12.75">
      <c r="A2709" s="1" t="s">
        <v>284</v>
      </c>
    </row>
    <row r="2710" ht="12.75">
      <c r="A2710" s="1"/>
    </row>
    <row r="2711" ht="12.75">
      <c r="A2711" s="1" t="s">
        <v>285</v>
      </c>
    </row>
    <row r="2712" ht="12.75">
      <c r="A2712" s="1"/>
    </row>
    <row r="2713" ht="12.75">
      <c r="A2713" s="1" t="s">
        <v>286</v>
      </c>
    </row>
    <row r="2714" ht="12.75">
      <c r="A2714" s="1" t="s">
        <v>287</v>
      </c>
    </row>
    <row r="2715" ht="12.75">
      <c r="A2715" s="9"/>
    </row>
    <row r="2716" ht="12.75">
      <c r="A2716" s="9"/>
    </row>
    <row r="2717" spans="1:4" ht="12.75">
      <c r="A2717" s="49" t="s">
        <v>288</v>
      </c>
      <c r="B2717" s="49"/>
      <c r="C2717" s="49"/>
      <c r="D2717" s="49"/>
    </row>
    <row r="2718" ht="12.75">
      <c r="A2718" s="10"/>
    </row>
    <row r="2719" ht="12.75">
      <c r="A2719" s="10"/>
    </row>
    <row r="2720" ht="3.75" customHeight="1">
      <c r="A2720" s="10"/>
    </row>
    <row r="2721" ht="12.75">
      <c r="A2721" s="1" t="s">
        <v>286</v>
      </c>
    </row>
    <row r="2722" ht="12.75">
      <c r="A2722" s="1" t="s">
        <v>289</v>
      </c>
    </row>
    <row r="2723" ht="9" customHeight="1">
      <c r="A2723" s="11"/>
    </row>
    <row r="2724" ht="12.75" hidden="1"/>
    <row r="2725" ht="11.25" customHeight="1"/>
    <row r="2726" spans="1:12" ht="15.75">
      <c r="A2726" s="46" t="s">
        <v>262</v>
      </c>
      <c r="B2726" s="46"/>
      <c r="C2726" s="46"/>
      <c r="D2726" s="46"/>
      <c r="E2726" s="46"/>
      <c r="F2726" s="46"/>
      <c r="G2726" s="46"/>
      <c r="H2726" s="46"/>
      <c r="I2726" s="46"/>
      <c r="J2726" s="46"/>
      <c r="K2726" s="46"/>
      <c r="L2726" s="14"/>
    </row>
    <row r="2727" spans="1:12" ht="15.75">
      <c r="A2727" s="46" t="s">
        <v>291</v>
      </c>
      <c r="B2727" s="46"/>
      <c r="C2727" s="46"/>
      <c r="D2727" s="46"/>
      <c r="E2727" s="46"/>
      <c r="F2727" s="46"/>
      <c r="G2727" s="46"/>
      <c r="H2727" s="46"/>
      <c r="I2727" s="46"/>
      <c r="J2727" s="46"/>
      <c r="K2727" s="14"/>
      <c r="L2727" s="14"/>
    </row>
    <row r="2728" spans="1:12" ht="15.75">
      <c r="A2728" s="46" t="s">
        <v>387</v>
      </c>
      <c r="B2728" s="46"/>
      <c r="C2728" s="46"/>
      <c r="D2728" s="46"/>
      <c r="E2728" s="46"/>
      <c r="F2728" s="46"/>
      <c r="G2728" s="46"/>
      <c r="H2728" s="46"/>
      <c r="I2728" s="46"/>
      <c r="J2728" s="46"/>
      <c r="K2728" s="46"/>
      <c r="L2728" s="46"/>
    </row>
    <row r="2729" spans="1:12" ht="60.75" customHeight="1" hidden="1">
      <c r="A2729" s="47" t="s">
        <v>290</v>
      </c>
      <c r="B2729" s="47"/>
      <c r="C2729" s="47"/>
      <c r="D2729" s="47"/>
      <c r="E2729" s="47"/>
      <c r="F2729" s="47"/>
      <c r="G2729" s="47"/>
      <c r="H2729" s="47"/>
      <c r="I2729" s="47"/>
      <c r="J2729" s="47"/>
      <c r="K2729" s="16"/>
      <c r="L2729" s="16"/>
    </row>
    <row r="2730" spans="1:12" ht="12.75">
      <c r="A2730" s="12"/>
      <c r="B2730" s="12"/>
      <c r="C2730" s="12"/>
      <c r="D2730" s="12"/>
      <c r="E2730" s="12"/>
      <c r="F2730" s="12"/>
      <c r="G2730" s="12"/>
      <c r="H2730" s="12"/>
      <c r="I2730" s="12"/>
      <c r="J2730" s="12"/>
      <c r="K2730" s="13"/>
      <c r="L2730" s="13"/>
    </row>
    <row r="2731" spans="1:12" ht="12.75">
      <c r="A2731" s="18" t="s">
        <v>264</v>
      </c>
      <c r="B2731" s="48" t="s">
        <v>266</v>
      </c>
      <c r="C2731" s="48" t="s">
        <v>267</v>
      </c>
      <c r="D2731" s="18" t="s">
        <v>268</v>
      </c>
      <c r="K2731" s="13"/>
      <c r="L2731" s="13"/>
    </row>
    <row r="2732" spans="1:4" ht="12.75">
      <c r="A2732" s="18" t="s">
        <v>265</v>
      </c>
      <c r="B2732" s="48"/>
      <c r="C2732" s="48"/>
      <c r="D2732" s="18" t="s">
        <v>269</v>
      </c>
    </row>
    <row r="2733" spans="1:4" ht="52.5" customHeight="1">
      <c r="A2733" s="19" t="s">
        <v>270</v>
      </c>
      <c r="B2733" s="19" t="s">
        <v>271</v>
      </c>
      <c r="C2733" s="19"/>
      <c r="D2733" s="18">
        <f>D2734+D2735+D2736+D2737+D2738+D2739</f>
        <v>100277.84999999999</v>
      </c>
    </row>
    <row r="2734" spans="1:4" ht="38.25">
      <c r="A2734" s="19" t="s">
        <v>19</v>
      </c>
      <c r="B2734" s="20" t="s">
        <v>272</v>
      </c>
      <c r="C2734" s="19"/>
      <c r="D2734" s="18"/>
    </row>
    <row r="2735" spans="1:4" ht="38.25">
      <c r="A2735" s="19" t="s">
        <v>20</v>
      </c>
      <c r="B2735" s="20" t="s">
        <v>273</v>
      </c>
      <c r="C2735" s="19"/>
      <c r="D2735" s="18">
        <f>98922.98+1354.87</f>
        <v>100277.84999999999</v>
      </c>
    </row>
    <row r="2736" spans="1:4" ht="38.25">
      <c r="A2736" s="21" t="s">
        <v>293</v>
      </c>
      <c r="B2736" s="20" t="s">
        <v>274</v>
      </c>
      <c r="C2736" s="19"/>
      <c r="D2736" s="18"/>
    </row>
    <row r="2737" spans="1:4" ht="38.25">
      <c r="A2737" s="21" t="s">
        <v>292</v>
      </c>
      <c r="B2737" s="20" t="s">
        <v>275</v>
      </c>
      <c r="C2737" s="19"/>
      <c r="D2737" s="18"/>
    </row>
    <row r="2738" spans="1:4" ht="38.25">
      <c r="A2738" s="21" t="s">
        <v>294</v>
      </c>
      <c r="B2738" s="20" t="s">
        <v>276</v>
      </c>
      <c r="C2738" s="19"/>
      <c r="D2738" s="18"/>
    </row>
    <row r="2739" spans="1:4" ht="25.5">
      <c r="A2739" s="21" t="s">
        <v>295</v>
      </c>
      <c r="B2739" s="20" t="s">
        <v>277</v>
      </c>
      <c r="C2739" s="19"/>
      <c r="D2739" s="18"/>
    </row>
    <row r="2740" spans="1:4" ht="12.75">
      <c r="A2740" s="19" t="s">
        <v>278</v>
      </c>
      <c r="B2740" s="19" t="s">
        <v>279</v>
      </c>
      <c r="C2740" s="19"/>
      <c r="D2740" s="18"/>
    </row>
    <row r="2741" spans="1:4" ht="12.75">
      <c r="A2741" s="19" t="s">
        <v>280</v>
      </c>
      <c r="B2741" s="19"/>
      <c r="C2741" s="19"/>
      <c r="D2741" s="18"/>
    </row>
    <row r="2742" spans="1:4" ht="12.75">
      <c r="A2742" s="19" t="s">
        <v>281</v>
      </c>
      <c r="B2742" s="19"/>
      <c r="C2742" s="19"/>
      <c r="D2742" s="18"/>
    </row>
    <row r="2743" spans="1:4" ht="12.75">
      <c r="A2743" s="19" t="s">
        <v>282</v>
      </c>
      <c r="B2743" s="19"/>
      <c r="C2743" s="19"/>
      <c r="D2743" s="18"/>
    </row>
    <row r="2744" ht="12.75">
      <c r="A2744" s="1"/>
    </row>
    <row r="2745" ht="12.75">
      <c r="A2745" s="1" t="s">
        <v>283</v>
      </c>
    </row>
    <row r="2746" spans="1:3" ht="12.75">
      <c r="A2746" s="1" t="s">
        <v>284</v>
      </c>
      <c r="C2746" t="s">
        <v>291</v>
      </c>
    </row>
    <row r="2747" ht="12.75">
      <c r="A2747" s="1"/>
    </row>
    <row r="2748" ht="12.75">
      <c r="A2748" s="1" t="s">
        <v>285</v>
      </c>
    </row>
    <row r="2749" ht="12.75">
      <c r="A2749" s="1"/>
    </row>
    <row r="2750" ht="12.75">
      <c r="A2750" s="1" t="s">
        <v>396</v>
      </c>
    </row>
    <row r="2751" ht="12.75">
      <c r="A2751" s="1" t="s">
        <v>287</v>
      </c>
    </row>
    <row r="2752" ht="12.75">
      <c r="A2752" s="9"/>
    </row>
    <row r="2753" ht="12.75">
      <c r="A2753" s="9"/>
    </row>
    <row r="2754" spans="1:4" ht="12.75" customHeight="1">
      <c r="A2754" s="49" t="s">
        <v>288</v>
      </c>
      <c r="B2754" s="49"/>
      <c r="C2754" s="49"/>
      <c r="D2754" s="49"/>
    </row>
    <row r="2755" ht="12.75">
      <c r="A2755" s="10"/>
    </row>
    <row r="2756" ht="12.75">
      <c r="A2756" s="10"/>
    </row>
    <row r="2757" ht="12.75">
      <c r="A2757" s="10"/>
    </row>
    <row r="2758" ht="39" customHeight="1">
      <c r="A2758" s="1" t="s">
        <v>286</v>
      </c>
    </row>
    <row r="2759" ht="12.75">
      <c r="A2759" s="1" t="s">
        <v>289</v>
      </c>
    </row>
    <row r="2760" ht="12.75">
      <c r="A2760" s="11"/>
    </row>
    <row r="2763" spans="1:12" ht="15.75">
      <c r="A2763" s="46"/>
      <c r="B2763" s="46"/>
      <c r="C2763" s="46"/>
      <c r="D2763" s="46"/>
      <c r="E2763" s="46"/>
      <c r="F2763" s="46"/>
      <c r="G2763" s="46"/>
      <c r="H2763" s="46"/>
      <c r="I2763" s="46"/>
      <c r="J2763" s="46"/>
      <c r="K2763" s="46"/>
      <c r="L2763" s="14"/>
    </row>
    <row r="2764" spans="1:12" ht="15.75">
      <c r="A2764" s="46"/>
      <c r="B2764" s="46"/>
      <c r="C2764" s="46"/>
      <c r="D2764" s="46"/>
      <c r="E2764" s="46"/>
      <c r="F2764" s="46"/>
      <c r="G2764" s="46"/>
      <c r="H2764" s="46"/>
      <c r="I2764" s="46"/>
      <c r="J2764" s="46"/>
      <c r="K2764" s="14"/>
      <c r="L2764" s="14"/>
    </row>
    <row r="2765" spans="1:12" ht="15.75" hidden="1">
      <c r="A2765" s="46"/>
      <c r="B2765" s="46"/>
      <c r="C2765" s="46"/>
      <c r="D2765" s="46"/>
      <c r="E2765" s="46"/>
      <c r="F2765" s="46"/>
      <c r="G2765" s="46"/>
      <c r="H2765" s="46"/>
      <c r="I2765" s="46"/>
      <c r="J2765" s="46"/>
      <c r="K2765" s="46"/>
      <c r="L2765" s="46"/>
    </row>
    <row r="2766" spans="1:12" s="2" customFormat="1" ht="15.75">
      <c r="A2766" s="46" t="s">
        <v>262</v>
      </c>
      <c r="B2766" s="46"/>
      <c r="C2766" s="46"/>
      <c r="D2766" s="46"/>
      <c r="E2766" s="46"/>
      <c r="F2766" s="46"/>
      <c r="G2766" s="46"/>
      <c r="H2766" s="46"/>
      <c r="I2766" s="46"/>
      <c r="J2766" s="46"/>
      <c r="K2766" s="46"/>
      <c r="L2766" s="14"/>
    </row>
    <row r="2767" spans="1:12" s="2" customFormat="1" ht="15.75">
      <c r="A2767" s="46" t="s">
        <v>291</v>
      </c>
      <c r="B2767" s="46"/>
      <c r="C2767" s="46"/>
      <c r="D2767" s="46"/>
      <c r="E2767" s="46"/>
      <c r="F2767" s="46"/>
      <c r="G2767" s="46"/>
      <c r="H2767" s="46"/>
      <c r="I2767" s="46"/>
      <c r="J2767" s="46"/>
      <c r="K2767" s="14"/>
      <c r="L2767" s="14"/>
    </row>
    <row r="2768" spans="1:12" s="2" customFormat="1" ht="15.75">
      <c r="A2768" s="46" t="s">
        <v>375</v>
      </c>
      <c r="B2768" s="46"/>
      <c r="C2768" s="46"/>
      <c r="D2768" s="46"/>
      <c r="E2768" s="46"/>
      <c r="F2768" s="46"/>
      <c r="G2768" s="46"/>
      <c r="H2768" s="46"/>
      <c r="I2768" s="46"/>
      <c r="J2768" s="46"/>
      <c r="K2768" s="46"/>
      <c r="L2768" s="46"/>
    </row>
    <row r="2769" spans="1:12" s="2" customFormat="1" ht="15.75" customHeight="1">
      <c r="A2769" s="47" t="s">
        <v>290</v>
      </c>
      <c r="B2769" s="47"/>
      <c r="C2769" s="47"/>
      <c r="D2769" s="47"/>
      <c r="E2769" s="47"/>
      <c r="F2769" s="47"/>
      <c r="G2769" s="47"/>
      <c r="H2769" s="47"/>
      <c r="I2769" s="47"/>
      <c r="J2769" s="47"/>
      <c r="K2769" s="16"/>
      <c r="L2769" s="16"/>
    </row>
    <row r="2770" spans="1:12" s="2" customFormat="1" ht="12.75">
      <c r="A2770" s="12"/>
      <c r="B2770" s="12"/>
      <c r="C2770" s="12"/>
      <c r="D2770" s="12"/>
      <c r="E2770" s="12"/>
      <c r="F2770" s="12"/>
      <c r="G2770" s="12"/>
      <c r="H2770" s="12"/>
      <c r="I2770" s="12"/>
      <c r="J2770" s="12"/>
      <c r="K2770" s="13"/>
      <c r="L2770" s="13"/>
    </row>
    <row r="2771" spans="1:12" s="2" customFormat="1" ht="12.75">
      <c r="A2771" s="18" t="s">
        <v>264</v>
      </c>
      <c r="B2771" s="48" t="s">
        <v>266</v>
      </c>
      <c r="C2771" s="48" t="s">
        <v>267</v>
      </c>
      <c r="D2771" s="18" t="s">
        <v>268</v>
      </c>
      <c r="E2771"/>
      <c r="F2771"/>
      <c r="G2771"/>
      <c r="H2771"/>
      <c r="I2771"/>
      <c r="J2771"/>
      <c r="K2771" s="13"/>
      <c r="L2771" s="13"/>
    </row>
    <row r="2772" spans="1:12" s="2" customFormat="1" ht="12.75">
      <c r="A2772" s="18" t="s">
        <v>265</v>
      </c>
      <c r="B2772" s="48"/>
      <c r="C2772" s="48"/>
      <c r="D2772" s="18" t="s">
        <v>269</v>
      </c>
      <c r="E2772"/>
      <c r="F2772"/>
      <c r="G2772"/>
      <c r="H2772"/>
      <c r="I2772"/>
      <c r="J2772"/>
      <c r="K2772"/>
      <c r="L2772"/>
    </row>
    <row r="2773" spans="1:12" s="2" customFormat="1" ht="38.25">
      <c r="A2773" s="19" t="s">
        <v>270</v>
      </c>
      <c r="B2773" s="19" t="s">
        <v>271</v>
      </c>
      <c r="C2773" s="19"/>
      <c r="D2773" s="18">
        <f>D2774+D2775+D2776+D2777+D2778+D2779</f>
        <v>0</v>
      </c>
      <c r="E2773"/>
      <c r="F2773"/>
      <c r="G2773"/>
      <c r="H2773"/>
      <c r="I2773"/>
      <c r="J2773"/>
      <c r="K2773"/>
      <c r="L2773"/>
    </row>
    <row r="2774" spans="1:12" s="2" customFormat="1" ht="38.25">
      <c r="A2774" s="19" t="s">
        <v>19</v>
      </c>
      <c r="B2774" s="20" t="s">
        <v>272</v>
      </c>
      <c r="C2774" s="19"/>
      <c r="D2774" s="18"/>
      <c r="E2774"/>
      <c r="F2774"/>
      <c r="G2774"/>
      <c r="H2774"/>
      <c r="I2774"/>
      <c r="J2774"/>
      <c r="K2774"/>
      <c r="L2774"/>
    </row>
    <row r="2775" spans="1:12" s="2" customFormat="1" ht="38.25">
      <c r="A2775" s="19" t="s">
        <v>20</v>
      </c>
      <c r="B2775" s="20" t="s">
        <v>273</v>
      </c>
      <c r="C2775" s="19"/>
      <c r="D2775" s="18"/>
      <c r="E2775"/>
      <c r="F2775"/>
      <c r="G2775"/>
      <c r="H2775"/>
      <c r="I2775"/>
      <c r="J2775"/>
      <c r="K2775"/>
      <c r="L2775"/>
    </row>
    <row r="2776" spans="1:12" s="2" customFormat="1" ht="38.25">
      <c r="A2776" s="21" t="s">
        <v>293</v>
      </c>
      <c r="B2776" s="20" t="s">
        <v>274</v>
      </c>
      <c r="C2776" s="19"/>
      <c r="D2776" s="18"/>
      <c r="E2776"/>
      <c r="F2776"/>
      <c r="G2776"/>
      <c r="H2776"/>
      <c r="I2776"/>
      <c r="J2776"/>
      <c r="K2776"/>
      <c r="L2776"/>
    </row>
    <row r="2777" spans="1:12" s="2" customFormat="1" ht="38.25">
      <c r="A2777" s="21" t="s">
        <v>292</v>
      </c>
      <c r="B2777" s="20" t="s">
        <v>275</v>
      </c>
      <c r="C2777" s="19"/>
      <c r="D2777" s="18"/>
      <c r="E2777"/>
      <c r="F2777"/>
      <c r="G2777"/>
      <c r="H2777"/>
      <c r="I2777"/>
      <c r="J2777"/>
      <c r="K2777"/>
      <c r="L2777"/>
    </row>
    <row r="2778" spans="1:12" s="2" customFormat="1" ht="38.25">
      <c r="A2778" s="21" t="s">
        <v>294</v>
      </c>
      <c r="B2778" s="20" t="s">
        <v>276</v>
      </c>
      <c r="C2778" s="19"/>
      <c r="D2778" s="18"/>
      <c r="E2778"/>
      <c r="F2778"/>
      <c r="G2778"/>
      <c r="H2778"/>
      <c r="I2778"/>
      <c r="J2778"/>
      <c r="K2778"/>
      <c r="L2778"/>
    </row>
    <row r="2779" spans="1:12" s="2" customFormat="1" ht="25.5">
      <c r="A2779" s="21" t="s">
        <v>295</v>
      </c>
      <c r="B2779" s="20" t="s">
        <v>277</v>
      </c>
      <c r="C2779" s="19"/>
      <c r="D2779" s="18"/>
      <c r="E2779"/>
      <c r="F2779"/>
      <c r="G2779"/>
      <c r="H2779"/>
      <c r="I2779"/>
      <c r="J2779"/>
      <c r="K2779"/>
      <c r="L2779"/>
    </row>
    <row r="2780" spans="1:12" s="2" customFormat="1" ht="12.75">
      <c r="A2780" s="19" t="s">
        <v>278</v>
      </c>
      <c r="B2780" s="19" t="s">
        <v>279</v>
      </c>
      <c r="C2780" s="19"/>
      <c r="D2780" s="18"/>
      <c r="E2780"/>
      <c r="F2780"/>
      <c r="G2780"/>
      <c r="H2780"/>
      <c r="I2780"/>
      <c r="J2780"/>
      <c r="K2780"/>
      <c r="L2780"/>
    </row>
    <row r="2781" spans="1:12" s="2" customFormat="1" ht="12.75">
      <c r="A2781" s="19" t="s">
        <v>280</v>
      </c>
      <c r="B2781" s="19"/>
      <c r="C2781" s="19"/>
      <c r="D2781" s="18"/>
      <c r="E2781"/>
      <c r="F2781"/>
      <c r="G2781"/>
      <c r="H2781"/>
      <c r="I2781"/>
      <c r="J2781"/>
      <c r="K2781"/>
      <c r="L2781"/>
    </row>
    <row r="2782" spans="1:12" s="2" customFormat="1" ht="12.75">
      <c r="A2782" s="19" t="s">
        <v>281</v>
      </c>
      <c r="B2782" s="19"/>
      <c r="C2782" s="19"/>
      <c r="D2782" s="18"/>
      <c r="E2782"/>
      <c r="F2782"/>
      <c r="G2782"/>
      <c r="H2782"/>
      <c r="I2782"/>
      <c r="J2782"/>
      <c r="K2782"/>
      <c r="L2782"/>
    </row>
    <row r="2783" spans="1:12" s="2" customFormat="1" ht="12.75">
      <c r="A2783" s="19" t="s">
        <v>282</v>
      </c>
      <c r="B2783" s="19"/>
      <c r="C2783" s="19"/>
      <c r="D2783" s="18"/>
      <c r="E2783"/>
      <c r="F2783"/>
      <c r="G2783"/>
      <c r="H2783"/>
      <c r="I2783"/>
      <c r="J2783"/>
      <c r="K2783"/>
      <c r="L2783"/>
    </row>
    <row r="2784" spans="1:12" s="2" customFormat="1" ht="12.75">
      <c r="A2784" s="1"/>
      <c r="B2784"/>
      <c r="C2784"/>
      <c r="D2784"/>
      <c r="E2784"/>
      <c r="F2784"/>
      <c r="G2784"/>
      <c r="H2784"/>
      <c r="I2784"/>
      <c r="J2784"/>
      <c r="K2784"/>
      <c r="L2784"/>
    </row>
    <row r="2785" spans="1:12" s="2" customFormat="1" ht="12.75">
      <c r="A2785" s="1" t="s">
        <v>283</v>
      </c>
      <c r="B2785"/>
      <c r="C2785"/>
      <c r="D2785"/>
      <c r="E2785"/>
      <c r="F2785"/>
      <c r="G2785"/>
      <c r="H2785"/>
      <c r="I2785"/>
      <c r="J2785"/>
      <c r="K2785"/>
      <c r="L2785"/>
    </row>
    <row r="2786" spans="1:12" s="2" customFormat="1" ht="12.75">
      <c r="A2786" s="1" t="s">
        <v>284</v>
      </c>
      <c r="B2786"/>
      <c r="C2786" t="s">
        <v>291</v>
      </c>
      <c r="D2786"/>
      <c r="E2786"/>
      <c r="F2786"/>
      <c r="G2786"/>
      <c r="H2786"/>
      <c r="I2786"/>
      <c r="J2786"/>
      <c r="K2786"/>
      <c r="L2786"/>
    </row>
    <row r="2787" spans="1:12" s="2" customFormat="1" ht="12.75">
      <c r="A2787" s="1"/>
      <c r="B2787"/>
      <c r="C2787"/>
      <c r="D2787"/>
      <c r="E2787"/>
      <c r="F2787"/>
      <c r="G2787"/>
      <c r="H2787"/>
      <c r="I2787"/>
      <c r="J2787"/>
      <c r="K2787"/>
      <c r="L2787"/>
    </row>
    <row r="2788" spans="1:12" s="2" customFormat="1" ht="12.75">
      <c r="A2788" s="1" t="s">
        <v>285</v>
      </c>
      <c r="B2788"/>
      <c r="C2788"/>
      <c r="D2788"/>
      <c r="E2788"/>
      <c r="F2788"/>
      <c r="G2788"/>
      <c r="H2788"/>
      <c r="I2788"/>
      <c r="J2788"/>
      <c r="K2788"/>
      <c r="L2788"/>
    </row>
    <row r="2789" spans="1:12" s="2" customFormat="1" ht="12.75">
      <c r="A2789" s="1"/>
      <c r="B2789"/>
      <c r="C2789"/>
      <c r="D2789"/>
      <c r="E2789"/>
      <c r="F2789"/>
      <c r="G2789"/>
      <c r="H2789"/>
      <c r="I2789"/>
      <c r="J2789"/>
      <c r="K2789"/>
      <c r="L2789"/>
    </row>
    <row r="2790" spans="1:12" s="2" customFormat="1" ht="12.75">
      <c r="A2790" s="1" t="s">
        <v>396</v>
      </c>
      <c r="B2790"/>
      <c r="C2790"/>
      <c r="D2790"/>
      <c r="E2790"/>
      <c r="F2790"/>
      <c r="G2790"/>
      <c r="H2790"/>
      <c r="I2790"/>
      <c r="J2790"/>
      <c r="K2790"/>
      <c r="L2790"/>
    </row>
    <row r="2791" spans="1:12" s="2" customFormat="1" ht="40.5" customHeight="1">
      <c r="A2791" s="1" t="s">
        <v>287</v>
      </c>
      <c r="B2791"/>
      <c r="C2791"/>
      <c r="D2791"/>
      <c r="E2791"/>
      <c r="F2791"/>
      <c r="G2791"/>
      <c r="H2791"/>
      <c r="I2791"/>
      <c r="J2791"/>
      <c r="K2791"/>
      <c r="L2791"/>
    </row>
    <row r="2792" spans="1:12" s="2" customFormat="1" ht="76.5" customHeight="1">
      <c r="A2792" s="49" t="s">
        <v>288</v>
      </c>
      <c r="B2792" s="49"/>
      <c r="C2792" s="49"/>
      <c r="D2792" s="49"/>
      <c r="E2792"/>
      <c r="F2792"/>
      <c r="G2792"/>
      <c r="H2792"/>
      <c r="I2792"/>
      <c r="J2792"/>
      <c r="K2792"/>
      <c r="L2792"/>
    </row>
    <row r="2793" spans="1:12" s="2" customFormat="1" ht="9.75" customHeight="1">
      <c r="A2793" s="10"/>
      <c r="B2793"/>
      <c r="C2793"/>
      <c r="D2793"/>
      <c r="E2793"/>
      <c r="F2793"/>
      <c r="G2793"/>
      <c r="H2793"/>
      <c r="I2793"/>
      <c r="J2793"/>
      <c r="K2793"/>
      <c r="L2793"/>
    </row>
    <row r="2794" spans="1:12" s="2" customFormat="1" ht="5.25" customHeight="1">
      <c r="A2794" s="10"/>
      <c r="B2794"/>
      <c r="C2794"/>
      <c r="D2794"/>
      <c r="E2794"/>
      <c r="F2794"/>
      <c r="G2794"/>
      <c r="H2794"/>
      <c r="I2794"/>
      <c r="J2794"/>
      <c r="K2794"/>
      <c r="L2794"/>
    </row>
    <row r="2795" spans="1:12" s="2" customFormat="1" ht="12.75" hidden="1">
      <c r="A2795" s="10"/>
      <c r="B2795"/>
      <c r="C2795"/>
      <c r="D2795"/>
      <c r="E2795"/>
      <c r="F2795"/>
      <c r="G2795"/>
      <c r="H2795"/>
      <c r="I2795"/>
      <c r="J2795"/>
      <c r="K2795"/>
      <c r="L2795"/>
    </row>
    <row r="2796" spans="1:12" s="2" customFormat="1" ht="12.75" hidden="1">
      <c r="A2796" s="1" t="s">
        <v>286</v>
      </c>
      <c r="B2796"/>
      <c r="C2796"/>
      <c r="D2796"/>
      <c r="E2796"/>
      <c r="F2796"/>
      <c r="G2796"/>
      <c r="H2796"/>
      <c r="I2796"/>
      <c r="J2796"/>
      <c r="K2796"/>
      <c r="L2796"/>
    </row>
    <row r="2797" spans="1:12" s="2" customFormat="1" ht="12.75" hidden="1">
      <c r="A2797" s="1" t="s">
        <v>289</v>
      </c>
      <c r="B2797"/>
      <c r="C2797"/>
      <c r="D2797"/>
      <c r="E2797"/>
      <c r="F2797"/>
      <c r="G2797"/>
      <c r="H2797"/>
      <c r="I2797"/>
      <c r="J2797"/>
      <c r="K2797"/>
      <c r="L2797"/>
    </row>
    <row r="2798" spans="1:12" s="2" customFormat="1" ht="22.5" customHeight="1">
      <c r="A2798" s="1" t="s">
        <v>286</v>
      </c>
      <c r="B2798"/>
      <c r="C2798"/>
      <c r="D2798"/>
      <c r="E2798"/>
      <c r="F2798"/>
      <c r="G2798"/>
      <c r="H2798"/>
      <c r="I2798"/>
      <c r="J2798"/>
      <c r="K2798"/>
      <c r="L2798"/>
    </row>
    <row r="2799" spans="1:12" s="2" customFormat="1" ht="28.5" customHeight="1">
      <c r="A2799" s="1" t="s">
        <v>289</v>
      </c>
      <c r="B2799"/>
      <c r="C2799"/>
      <c r="D2799"/>
      <c r="E2799"/>
      <c r="F2799"/>
      <c r="G2799"/>
      <c r="H2799"/>
      <c r="I2799"/>
      <c r="J2799"/>
      <c r="K2799"/>
      <c r="L2799"/>
    </row>
    <row r="2800" spans="1:12" s="2" customFormat="1" ht="12.75">
      <c r="A2800"/>
      <c r="B2800"/>
      <c r="C2800"/>
      <c r="D2800"/>
      <c r="E2800"/>
      <c r="F2800"/>
      <c r="G2800"/>
      <c r="H2800"/>
      <c r="I2800"/>
      <c r="J2800"/>
      <c r="K2800"/>
      <c r="L2800"/>
    </row>
    <row r="2801" spans="1:12" s="2" customFormat="1" ht="12.75">
      <c r="A2801"/>
      <c r="B2801"/>
      <c r="C2801"/>
      <c r="D2801"/>
      <c r="E2801"/>
      <c r="F2801"/>
      <c r="G2801"/>
      <c r="H2801"/>
      <c r="I2801"/>
      <c r="J2801"/>
      <c r="K2801"/>
      <c r="L2801"/>
    </row>
    <row r="2802" spans="1:12" s="2" customFormat="1" ht="12.75">
      <c r="A2802"/>
      <c r="B2802"/>
      <c r="C2802"/>
      <c r="D2802"/>
      <c r="E2802"/>
      <c r="F2802"/>
      <c r="G2802"/>
      <c r="H2802"/>
      <c r="I2802"/>
      <c r="J2802"/>
      <c r="K2802"/>
      <c r="L2802"/>
    </row>
    <row r="2803" spans="1:12" s="2" customFormat="1" ht="10.5" customHeight="1">
      <c r="A2803"/>
      <c r="B2803"/>
      <c r="C2803"/>
      <c r="D2803"/>
      <c r="E2803"/>
      <c r="F2803"/>
      <c r="G2803"/>
      <c r="H2803"/>
      <c r="I2803"/>
      <c r="J2803"/>
      <c r="K2803"/>
      <c r="L2803"/>
    </row>
    <row r="2804" spans="1:12" s="2" customFormat="1" ht="47.25" customHeight="1" hidden="1">
      <c r="A2804"/>
      <c r="B2804"/>
      <c r="C2804"/>
      <c r="D2804"/>
      <c r="E2804"/>
      <c r="F2804"/>
      <c r="G2804"/>
      <c r="H2804"/>
      <c r="I2804"/>
      <c r="J2804"/>
      <c r="K2804"/>
      <c r="L2804"/>
    </row>
    <row r="2805" spans="1:12" s="2" customFormat="1" ht="12.75" hidden="1">
      <c r="A2805"/>
      <c r="B2805"/>
      <c r="C2805"/>
      <c r="D2805"/>
      <c r="E2805"/>
      <c r="F2805"/>
      <c r="G2805"/>
      <c r="H2805"/>
      <c r="I2805"/>
      <c r="J2805"/>
      <c r="K2805"/>
      <c r="L2805"/>
    </row>
    <row r="2806" ht="28.5" customHeight="1" hidden="1"/>
    <row r="2807" ht="12.75" hidden="1"/>
    <row r="2808" ht="12.75" hidden="1"/>
    <row r="2809" spans="1:12" ht="15.75" customHeight="1">
      <c r="A2809" s="46" t="s">
        <v>262</v>
      </c>
      <c r="B2809" s="46"/>
      <c r="C2809" s="46"/>
      <c r="D2809" s="46"/>
      <c r="E2809" s="46"/>
      <c r="F2809" s="46"/>
      <c r="G2809" s="46"/>
      <c r="H2809" s="46"/>
      <c r="I2809" s="46"/>
      <c r="J2809" s="46"/>
      <c r="K2809" s="46"/>
      <c r="L2809" s="14"/>
    </row>
    <row r="2810" spans="1:12" ht="15.75">
      <c r="A2810" s="46" t="s">
        <v>291</v>
      </c>
      <c r="B2810" s="46"/>
      <c r="C2810" s="46"/>
      <c r="D2810" s="46"/>
      <c r="E2810" s="46"/>
      <c r="F2810" s="46"/>
      <c r="G2810" s="46"/>
      <c r="H2810" s="46"/>
      <c r="I2810" s="46"/>
      <c r="J2810" s="46"/>
      <c r="K2810" s="14"/>
      <c r="L2810" s="14"/>
    </row>
    <row r="2811" spans="1:12" ht="15.75">
      <c r="A2811" s="46" t="s">
        <v>379</v>
      </c>
      <c r="B2811" s="46"/>
      <c r="C2811" s="46"/>
      <c r="D2811" s="46"/>
      <c r="E2811" s="46"/>
      <c r="F2811" s="46"/>
      <c r="G2811" s="46"/>
      <c r="H2811" s="46"/>
      <c r="I2811" s="46"/>
      <c r="J2811" s="46"/>
      <c r="K2811" s="46"/>
      <c r="L2811" s="46"/>
    </row>
    <row r="2812" spans="1:12" ht="15.75">
      <c r="A2812" s="47" t="s">
        <v>290</v>
      </c>
      <c r="B2812" s="47"/>
      <c r="C2812" s="47"/>
      <c r="D2812" s="47"/>
      <c r="E2812" s="47"/>
      <c r="F2812" s="47"/>
      <c r="G2812" s="47"/>
      <c r="H2812" s="47"/>
      <c r="I2812" s="47"/>
      <c r="J2812" s="47"/>
      <c r="K2812" s="16"/>
      <c r="L2812" s="16"/>
    </row>
    <row r="2813" spans="1:12" ht="12.75">
      <c r="A2813" s="12"/>
      <c r="B2813" s="12"/>
      <c r="C2813" s="12"/>
      <c r="D2813" s="12"/>
      <c r="E2813" s="12"/>
      <c r="F2813" s="12"/>
      <c r="G2813" s="12"/>
      <c r="H2813" s="12"/>
      <c r="I2813" s="12"/>
      <c r="J2813" s="12"/>
      <c r="K2813" s="13"/>
      <c r="L2813" s="13"/>
    </row>
    <row r="2814" spans="1:12" ht="12.75">
      <c r="A2814" s="18" t="s">
        <v>264</v>
      </c>
      <c r="B2814" s="48" t="s">
        <v>266</v>
      </c>
      <c r="C2814" s="48" t="s">
        <v>267</v>
      </c>
      <c r="D2814" s="18" t="s">
        <v>268</v>
      </c>
      <c r="K2814" s="13"/>
      <c r="L2814" s="13"/>
    </row>
    <row r="2815" spans="1:4" ht="12.75">
      <c r="A2815" s="18" t="s">
        <v>265</v>
      </c>
      <c r="B2815" s="48"/>
      <c r="C2815" s="48"/>
      <c r="D2815" s="18" t="s">
        <v>269</v>
      </c>
    </row>
    <row r="2816" spans="1:4" ht="38.25">
      <c r="A2816" s="19" t="s">
        <v>270</v>
      </c>
      <c r="B2816" s="19" t="s">
        <v>271</v>
      </c>
      <c r="C2816" s="19"/>
      <c r="D2816" s="18">
        <f>D2817+D2818+D2819+D2820+D2821+D2822</f>
        <v>0</v>
      </c>
    </row>
    <row r="2817" spans="1:4" ht="38.25">
      <c r="A2817" s="19" t="s">
        <v>19</v>
      </c>
      <c r="B2817" s="20" t="s">
        <v>272</v>
      </c>
      <c r="C2817" s="19"/>
      <c r="D2817" s="18"/>
    </row>
    <row r="2818" spans="1:4" ht="38.25">
      <c r="A2818" s="19" t="s">
        <v>20</v>
      </c>
      <c r="B2818" s="20" t="s">
        <v>273</v>
      </c>
      <c r="C2818" s="19"/>
      <c r="D2818" s="18"/>
    </row>
    <row r="2819" spans="1:4" ht="38.25">
      <c r="A2819" s="21" t="s">
        <v>293</v>
      </c>
      <c r="B2819" s="20" t="s">
        <v>274</v>
      </c>
      <c r="C2819" s="19"/>
      <c r="D2819" s="18"/>
    </row>
    <row r="2820" spans="1:4" ht="38.25">
      <c r="A2820" s="21" t="s">
        <v>292</v>
      </c>
      <c r="B2820" s="20" t="s">
        <v>275</v>
      </c>
      <c r="C2820" s="19"/>
      <c r="D2820" s="18"/>
    </row>
    <row r="2821" spans="1:4" ht="38.25">
      <c r="A2821" s="21" t="s">
        <v>294</v>
      </c>
      <c r="B2821" s="20" t="s">
        <v>276</v>
      </c>
      <c r="C2821" s="19"/>
      <c r="D2821" s="18"/>
    </row>
    <row r="2822" spans="1:4" ht="25.5">
      <c r="A2822" s="21" t="s">
        <v>295</v>
      </c>
      <c r="B2822" s="20" t="s">
        <v>277</v>
      </c>
      <c r="C2822" s="19"/>
      <c r="D2822" s="18"/>
    </row>
    <row r="2823" spans="1:4" ht="12.75">
      <c r="A2823" s="19" t="s">
        <v>278</v>
      </c>
      <c r="B2823" s="19" t="s">
        <v>279</v>
      </c>
      <c r="C2823" s="19"/>
      <c r="D2823" s="18"/>
    </row>
    <row r="2824" spans="1:4" ht="12.75">
      <c r="A2824" s="19" t="s">
        <v>280</v>
      </c>
      <c r="B2824" s="19"/>
      <c r="C2824" s="19"/>
      <c r="D2824" s="18"/>
    </row>
    <row r="2825" spans="1:4" ht="12.75">
      <c r="A2825" s="19" t="s">
        <v>281</v>
      </c>
      <c r="B2825" s="19"/>
      <c r="C2825" s="19"/>
      <c r="D2825" s="18"/>
    </row>
    <row r="2826" spans="1:4" ht="12.75">
      <c r="A2826" s="19" t="s">
        <v>282</v>
      </c>
      <c r="B2826" s="19"/>
      <c r="C2826" s="19"/>
      <c r="D2826" s="18"/>
    </row>
    <row r="2827" ht="12.75">
      <c r="A2827" s="1"/>
    </row>
    <row r="2828" ht="12.75">
      <c r="A2828" s="1" t="s">
        <v>283</v>
      </c>
    </row>
    <row r="2829" spans="1:3" ht="12.75">
      <c r="A2829" s="1" t="s">
        <v>284</v>
      </c>
      <c r="C2829" t="s">
        <v>291</v>
      </c>
    </row>
    <row r="2830" ht="12.75">
      <c r="A2830" s="1"/>
    </row>
    <row r="2831" ht="12.75">
      <c r="A2831" s="1" t="s">
        <v>285</v>
      </c>
    </row>
    <row r="2832" ht="12.75">
      <c r="A2832" s="1"/>
    </row>
    <row r="2833" ht="12.75">
      <c r="A2833" s="1" t="s">
        <v>396</v>
      </c>
    </row>
    <row r="2834" ht="12.75">
      <c r="A2834" s="1" t="s">
        <v>287</v>
      </c>
    </row>
    <row r="2835" spans="1:4" ht="46.5" customHeight="1">
      <c r="A2835" s="49" t="s">
        <v>288</v>
      </c>
      <c r="B2835" s="49"/>
      <c r="C2835" s="49"/>
      <c r="D2835" s="49"/>
    </row>
    <row r="2836" ht="12.75">
      <c r="A2836" s="10"/>
    </row>
    <row r="2837" ht="12.75" customHeight="1">
      <c r="A2837" s="10"/>
    </row>
    <row r="2838" ht="12.75">
      <c r="A2838" s="10"/>
    </row>
    <row r="2839" ht="12.75">
      <c r="A2839" s="1" t="s">
        <v>286</v>
      </c>
    </row>
    <row r="2840" ht="12.75">
      <c r="A2840" s="1" t="s">
        <v>289</v>
      </c>
    </row>
    <row r="2841" ht="12.75" customHeight="1" hidden="1">
      <c r="A2841" s="1" t="s">
        <v>286</v>
      </c>
    </row>
    <row r="2842" ht="12.75" customHeight="1" hidden="1">
      <c r="A2842" s="1" t="s">
        <v>289</v>
      </c>
    </row>
    <row r="2846" ht="9.75" customHeight="1"/>
    <row r="2847" ht="15" customHeight="1" hidden="1"/>
    <row r="2848" ht="28.5" customHeight="1"/>
    <row r="2849" spans="1:12" ht="15.75">
      <c r="A2849" s="46" t="s">
        <v>262</v>
      </c>
      <c r="B2849" s="46"/>
      <c r="C2849" s="46"/>
      <c r="D2849" s="46"/>
      <c r="E2849" s="46"/>
      <c r="F2849" s="46"/>
      <c r="G2849" s="46"/>
      <c r="H2849" s="46"/>
      <c r="I2849" s="46"/>
      <c r="J2849" s="46"/>
      <c r="K2849" s="46"/>
      <c r="L2849" s="14"/>
    </row>
    <row r="2850" spans="1:12" ht="15.75">
      <c r="A2850" s="46" t="s">
        <v>291</v>
      </c>
      <c r="B2850" s="46"/>
      <c r="C2850" s="46"/>
      <c r="D2850" s="46"/>
      <c r="E2850" s="46"/>
      <c r="F2850" s="46"/>
      <c r="G2850" s="46"/>
      <c r="H2850" s="46"/>
      <c r="I2850" s="46"/>
      <c r="J2850" s="46"/>
      <c r="K2850" s="14"/>
      <c r="L2850" s="14"/>
    </row>
    <row r="2851" spans="1:12" ht="15.75">
      <c r="A2851" s="46" t="s">
        <v>383</v>
      </c>
      <c r="B2851" s="46"/>
      <c r="C2851" s="46"/>
      <c r="D2851" s="46"/>
      <c r="E2851" s="46"/>
      <c r="F2851" s="46"/>
      <c r="G2851" s="46"/>
      <c r="H2851" s="46"/>
      <c r="I2851" s="46"/>
      <c r="J2851" s="46"/>
      <c r="K2851" s="46"/>
      <c r="L2851" s="46"/>
    </row>
    <row r="2852" spans="1:12" ht="15.75">
      <c r="A2852" s="47" t="s">
        <v>290</v>
      </c>
      <c r="B2852" s="47"/>
      <c r="C2852" s="47"/>
      <c r="D2852" s="47"/>
      <c r="E2852" s="47"/>
      <c r="F2852" s="47"/>
      <c r="G2852" s="47"/>
      <c r="H2852" s="47"/>
      <c r="I2852" s="47"/>
      <c r="J2852" s="47"/>
      <c r="K2852" s="16"/>
      <c r="L2852" s="16"/>
    </row>
    <row r="2853" spans="1:12" ht="12.75">
      <c r="A2853" s="12"/>
      <c r="B2853" s="12"/>
      <c r="C2853" s="12"/>
      <c r="D2853" s="12"/>
      <c r="E2853" s="12"/>
      <c r="F2853" s="12"/>
      <c r="G2853" s="12"/>
      <c r="H2853" s="12"/>
      <c r="I2853" s="12"/>
      <c r="J2853" s="12"/>
      <c r="K2853" s="13"/>
      <c r="L2853" s="13"/>
    </row>
    <row r="2854" spans="1:12" ht="12.75">
      <c r="A2854" s="18" t="s">
        <v>264</v>
      </c>
      <c r="B2854" s="48" t="s">
        <v>266</v>
      </c>
      <c r="C2854" s="48" t="s">
        <v>267</v>
      </c>
      <c r="D2854" s="18" t="s">
        <v>268</v>
      </c>
      <c r="K2854" s="13"/>
      <c r="L2854" s="13"/>
    </row>
    <row r="2855" spans="1:4" ht="12.75">
      <c r="A2855" s="18" t="s">
        <v>265</v>
      </c>
      <c r="B2855" s="48"/>
      <c r="C2855" s="48"/>
      <c r="D2855" s="18" t="s">
        <v>269</v>
      </c>
    </row>
    <row r="2856" spans="1:4" ht="38.25">
      <c r="A2856" s="19" t="s">
        <v>270</v>
      </c>
      <c r="B2856" s="19" t="s">
        <v>271</v>
      </c>
      <c r="C2856" s="19"/>
      <c r="D2856" s="18">
        <f>D2857+D2858+D2859+D2860+D2861+D2862</f>
        <v>0</v>
      </c>
    </row>
    <row r="2857" spans="1:4" ht="38.25">
      <c r="A2857" s="19" t="s">
        <v>19</v>
      </c>
      <c r="B2857" s="20" t="s">
        <v>272</v>
      </c>
      <c r="C2857" s="19"/>
      <c r="D2857" s="18"/>
    </row>
    <row r="2858" spans="1:4" ht="38.25">
      <c r="A2858" s="19" t="s">
        <v>20</v>
      </c>
      <c r="B2858" s="20" t="s">
        <v>273</v>
      </c>
      <c r="C2858" s="19"/>
      <c r="D2858" s="18"/>
    </row>
    <row r="2859" spans="1:4" ht="38.25">
      <c r="A2859" s="21" t="s">
        <v>293</v>
      </c>
      <c r="B2859" s="20" t="s">
        <v>274</v>
      </c>
      <c r="C2859" s="19"/>
      <c r="D2859" s="18"/>
    </row>
    <row r="2860" spans="1:4" ht="38.25">
      <c r="A2860" s="21" t="s">
        <v>292</v>
      </c>
      <c r="B2860" s="20" t="s">
        <v>275</v>
      </c>
      <c r="C2860" s="19"/>
      <c r="D2860" s="18"/>
    </row>
    <row r="2861" spans="1:4" ht="38.25">
      <c r="A2861" s="21" t="s">
        <v>294</v>
      </c>
      <c r="B2861" s="20" t="s">
        <v>276</v>
      </c>
      <c r="C2861" s="19"/>
      <c r="D2861" s="18"/>
    </row>
    <row r="2862" spans="1:4" ht="25.5">
      <c r="A2862" s="21" t="s">
        <v>295</v>
      </c>
      <c r="B2862" s="20" t="s">
        <v>277</v>
      </c>
      <c r="C2862" s="19"/>
      <c r="D2862" s="18"/>
    </row>
    <row r="2863" spans="1:4" ht="12.75">
      <c r="A2863" s="19" t="s">
        <v>278</v>
      </c>
      <c r="B2863" s="19" t="s">
        <v>279</v>
      </c>
      <c r="C2863" s="19"/>
      <c r="D2863" s="18"/>
    </row>
    <row r="2864" spans="1:4" ht="12.75">
      <c r="A2864" s="19" t="s">
        <v>280</v>
      </c>
      <c r="B2864" s="19"/>
      <c r="C2864" s="19"/>
      <c r="D2864" s="18"/>
    </row>
    <row r="2865" spans="1:4" ht="12.75">
      <c r="A2865" s="19" t="s">
        <v>281</v>
      </c>
      <c r="B2865" s="19"/>
      <c r="C2865" s="19"/>
      <c r="D2865" s="18"/>
    </row>
    <row r="2866" spans="1:4" ht="12.75">
      <c r="A2866" s="19" t="s">
        <v>282</v>
      </c>
      <c r="B2866" s="19"/>
      <c r="C2866" s="19"/>
      <c r="D2866" s="18"/>
    </row>
    <row r="2867" ht="12.75">
      <c r="A2867" s="1"/>
    </row>
    <row r="2868" ht="12.75">
      <c r="A2868" s="1" t="s">
        <v>283</v>
      </c>
    </row>
    <row r="2869" spans="1:3" ht="12.75">
      <c r="A2869" s="1" t="s">
        <v>284</v>
      </c>
      <c r="C2869" t="s">
        <v>291</v>
      </c>
    </row>
    <row r="2870" ht="12.75">
      <c r="A2870" s="1"/>
    </row>
    <row r="2871" ht="12.75">
      <c r="A2871" s="1" t="s">
        <v>285</v>
      </c>
    </row>
    <row r="2872" ht="12.75">
      <c r="A2872" s="1"/>
    </row>
    <row r="2873" ht="12.75">
      <c r="A2873" s="1" t="s">
        <v>396</v>
      </c>
    </row>
    <row r="2874" ht="12.75">
      <c r="A2874" s="1" t="s">
        <v>287</v>
      </c>
    </row>
    <row r="2875" spans="1:4" ht="44.25" customHeight="1">
      <c r="A2875" s="49" t="s">
        <v>288</v>
      </c>
      <c r="B2875" s="49"/>
      <c r="C2875" s="49"/>
      <c r="D2875" s="49"/>
    </row>
    <row r="2876" ht="12.75">
      <c r="A2876" s="10"/>
    </row>
    <row r="2877" ht="12.75" customHeight="1">
      <c r="A2877" s="10"/>
    </row>
    <row r="2878" ht="12.75">
      <c r="A2878" s="10"/>
    </row>
    <row r="2879" ht="12.75">
      <c r="A2879" s="1" t="s">
        <v>286</v>
      </c>
    </row>
    <row r="2880" ht="12.75">
      <c r="A2880" s="1" t="s">
        <v>289</v>
      </c>
    </row>
    <row r="2883" ht="49.5" customHeight="1"/>
    <row r="2884" ht="18" customHeight="1"/>
    <row r="2885" ht="21.75" customHeight="1"/>
    <row r="2886" spans="1:12" ht="15.75">
      <c r="A2886" s="46" t="s">
        <v>262</v>
      </c>
      <c r="B2886" s="46"/>
      <c r="C2886" s="46"/>
      <c r="D2886" s="46"/>
      <c r="E2886" s="46"/>
      <c r="F2886" s="46"/>
      <c r="G2886" s="46"/>
      <c r="H2886" s="46"/>
      <c r="I2886" s="46"/>
      <c r="J2886" s="46"/>
      <c r="K2886" s="46"/>
      <c r="L2886" s="14"/>
    </row>
    <row r="2887" spans="1:12" ht="15.75" customHeight="1">
      <c r="A2887" s="46" t="s">
        <v>291</v>
      </c>
      <c r="B2887" s="46"/>
      <c r="C2887" s="46"/>
      <c r="D2887" s="46"/>
      <c r="E2887" s="46"/>
      <c r="F2887" s="46"/>
      <c r="G2887" s="46"/>
      <c r="H2887" s="46"/>
      <c r="I2887" s="46"/>
      <c r="J2887" s="46"/>
      <c r="K2887" s="14"/>
      <c r="L2887" s="14"/>
    </row>
    <row r="2888" spans="1:12" ht="15.75">
      <c r="A2888" s="46" t="s">
        <v>384</v>
      </c>
      <c r="B2888" s="46"/>
      <c r="C2888" s="46"/>
      <c r="D2888" s="46"/>
      <c r="E2888" s="46"/>
      <c r="F2888" s="46"/>
      <c r="G2888" s="46"/>
      <c r="H2888" s="46"/>
      <c r="I2888" s="46"/>
      <c r="J2888" s="46"/>
      <c r="K2888" s="46"/>
      <c r="L2888" s="46"/>
    </row>
    <row r="2889" spans="1:12" ht="15.75">
      <c r="A2889" s="47" t="s">
        <v>290</v>
      </c>
      <c r="B2889" s="47"/>
      <c r="C2889" s="47"/>
      <c r="D2889" s="47"/>
      <c r="E2889" s="47"/>
      <c r="F2889" s="47"/>
      <c r="G2889" s="47"/>
      <c r="H2889" s="47"/>
      <c r="I2889" s="47"/>
      <c r="J2889" s="47"/>
      <c r="K2889" s="16"/>
      <c r="L2889" s="16"/>
    </row>
    <row r="2890" spans="1:12" ht="12.75">
      <c r="A2890" s="12"/>
      <c r="B2890" s="12"/>
      <c r="C2890" s="12"/>
      <c r="D2890" s="12"/>
      <c r="E2890" s="12"/>
      <c r="F2890" s="12"/>
      <c r="G2890" s="12"/>
      <c r="H2890" s="12"/>
      <c r="I2890" s="12"/>
      <c r="J2890" s="12"/>
      <c r="K2890" s="13"/>
      <c r="L2890" s="13"/>
    </row>
    <row r="2891" spans="1:12" ht="12.75">
      <c r="A2891" s="18" t="s">
        <v>264</v>
      </c>
      <c r="B2891" s="48" t="s">
        <v>266</v>
      </c>
      <c r="C2891" s="48" t="s">
        <v>267</v>
      </c>
      <c r="D2891" s="18" t="s">
        <v>268</v>
      </c>
      <c r="K2891" s="13"/>
      <c r="L2891" s="13"/>
    </row>
    <row r="2892" spans="1:4" ht="12.75">
      <c r="A2892" s="18" t="s">
        <v>265</v>
      </c>
      <c r="B2892" s="48"/>
      <c r="C2892" s="48"/>
      <c r="D2892" s="18" t="s">
        <v>269</v>
      </c>
    </row>
    <row r="2893" spans="1:4" ht="38.25">
      <c r="A2893" s="19" t="s">
        <v>270</v>
      </c>
      <c r="B2893" s="19" t="s">
        <v>271</v>
      </c>
      <c r="C2893" s="19"/>
      <c r="D2893" s="18">
        <f>D2894+D2895+D2896+D2897+D2898+D2899</f>
        <v>0</v>
      </c>
    </row>
    <row r="2894" spans="1:4" ht="38.25">
      <c r="A2894" s="19" t="s">
        <v>19</v>
      </c>
      <c r="B2894" s="20" t="s">
        <v>272</v>
      </c>
      <c r="C2894" s="19"/>
      <c r="D2894" s="18"/>
    </row>
    <row r="2895" spans="1:4" ht="38.25">
      <c r="A2895" s="19" t="s">
        <v>20</v>
      </c>
      <c r="B2895" s="20" t="s">
        <v>273</v>
      </c>
      <c r="C2895" s="19"/>
      <c r="D2895" s="18"/>
    </row>
    <row r="2896" spans="1:4" ht="38.25">
      <c r="A2896" s="21" t="s">
        <v>293</v>
      </c>
      <c r="B2896" s="20" t="s">
        <v>274</v>
      </c>
      <c r="C2896" s="19"/>
      <c r="D2896" s="18"/>
    </row>
    <row r="2897" spans="1:4" ht="38.25">
      <c r="A2897" s="21" t="s">
        <v>292</v>
      </c>
      <c r="B2897" s="20" t="s">
        <v>275</v>
      </c>
      <c r="C2897" s="19"/>
      <c r="D2897" s="18"/>
    </row>
    <row r="2898" spans="1:4" ht="38.25">
      <c r="A2898" s="21" t="s">
        <v>294</v>
      </c>
      <c r="B2898" s="20" t="s">
        <v>276</v>
      </c>
      <c r="C2898" s="19"/>
      <c r="D2898" s="18"/>
    </row>
    <row r="2899" spans="1:4" ht="25.5">
      <c r="A2899" s="21" t="s">
        <v>295</v>
      </c>
      <c r="B2899" s="20" t="s">
        <v>277</v>
      </c>
      <c r="C2899" s="19"/>
      <c r="D2899" s="18"/>
    </row>
    <row r="2900" spans="1:4" ht="12.75">
      <c r="A2900" s="19" t="s">
        <v>278</v>
      </c>
      <c r="B2900" s="19" t="s">
        <v>279</v>
      </c>
      <c r="C2900" s="19"/>
      <c r="D2900" s="18"/>
    </row>
    <row r="2901" spans="1:4" ht="12.75">
      <c r="A2901" s="19" t="s">
        <v>280</v>
      </c>
      <c r="B2901" s="19"/>
      <c r="C2901" s="19"/>
      <c r="D2901" s="18"/>
    </row>
    <row r="2902" spans="1:4" ht="12.75">
      <c r="A2902" s="19" t="s">
        <v>281</v>
      </c>
      <c r="B2902" s="19"/>
      <c r="C2902" s="19"/>
      <c r="D2902" s="18"/>
    </row>
    <row r="2903" spans="1:4" ht="12.75">
      <c r="A2903" s="19" t="s">
        <v>282</v>
      </c>
      <c r="B2903" s="19"/>
      <c r="C2903" s="19"/>
      <c r="D2903" s="18"/>
    </row>
    <row r="2904" ht="12.75">
      <c r="A2904" s="1"/>
    </row>
    <row r="2905" ht="12.75">
      <c r="A2905" s="1" t="s">
        <v>283</v>
      </c>
    </row>
    <row r="2906" spans="1:3" ht="12.75">
      <c r="A2906" s="1" t="s">
        <v>284</v>
      </c>
      <c r="C2906" t="s">
        <v>291</v>
      </c>
    </row>
    <row r="2907" ht="12.75">
      <c r="A2907" s="1"/>
    </row>
    <row r="2908" ht="12.75">
      <c r="A2908" s="1" t="s">
        <v>285</v>
      </c>
    </row>
    <row r="2909" ht="12.75">
      <c r="A2909" s="1"/>
    </row>
    <row r="2910" ht="12.75">
      <c r="A2910" s="1" t="s">
        <v>396</v>
      </c>
    </row>
    <row r="2911" ht="12.75">
      <c r="A2911" s="1" t="s">
        <v>287</v>
      </c>
    </row>
    <row r="2912" spans="1:4" ht="39.75" customHeight="1">
      <c r="A2912" s="49" t="s">
        <v>288</v>
      </c>
      <c r="B2912" s="49"/>
      <c r="C2912" s="49"/>
      <c r="D2912" s="49"/>
    </row>
    <row r="2913" ht="12.75">
      <c r="A2913" s="10"/>
    </row>
    <row r="2914" ht="12.75" customHeight="1">
      <c r="A2914" s="10"/>
    </row>
    <row r="2915" ht="12.75">
      <c r="A2915" s="10"/>
    </row>
    <row r="2916" ht="12.75">
      <c r="A2916" s="1" t="s">
        <v>286</v>
      </c>
    </row>
    <row r="2917" ht="12.75">
      <c r="A2917" s="1" t="s">
        <v>289</v>
      </c>
    </row>
    <row r="2922" ht="16.5" customHeight="1"/>
    <row r="2925" spans="1:12" ht="15.75">
      <c r="A2925" s="46" t="s">
        <v>262</v>
      </c>
      <c r="B2925" s="46"/>
      <c r="C2925" s="46"/>
      <c r="D2925" s="46"/>
      <c r="E2925" s="46"/>
      <c r="F2925" s="46"/>
      <c r="G2925" s="46"/>
      <c r="H2925" s="46"/>
      <c r="I2925" s="46"/>
      <c r="J2925" s="46"/>
      <c r="K2925" s="46"/>
      <c r="L2925" s="14"/>
    </row>
    <row r="2926" spans="1:12" ht="15.75">
      <c r="A2926" s="46" t="s">
        <v>291</v>
      </c>
      <c r="B2926" s="46"/>
      <c r="C2926" s="46"/>
      <c r="D2926" s="46"/>
      <c r="E2926" s="46"/>
      <c r="F2926" s="46"/>
      <c r="G2926" s="46"/>
      <c r="H2926" s="46"/>
      <c r="I2926" s="46"/>
      <c r="J2926" s="46"/>
      <c r="K2926" s="14"/>
      <c r="L2926" s="14"/>
    </row>
    <row r="2927" spans="1:12" ht="15.75">
      <c r="A2927" s="46" t="s">
        <v>385</v>
      </c>
      <c r="B2927" s="46"/>
      <c r="C2927" s="46"/>
      <c r="D2927" s="46"/>
      <c r="E2927" s="46"/>
      <c r="F2927" s="46"/>
      <c r="G2927" s="46"/>
      <c r="H2927" s="46"/>
      <c r="I2927" s="46"/>
      <c r="J2927" s="46"/>
      <c r="K2927" s="46"/>
      <c r="L2927" s="46"/>
    </row>
    <row r="2928" spans="1:12" ht="15.75">
      <c r="A2928" s="47" t="s">
        <v>290</v>
      </c>
      <c r="B2928" s="47"/>
      <c r="C2928" s="47"/>
      <c r="D2928" s="47"/>
      <c r="E2928" s="47"/>
      <c r="F2928" s="47"/>
      <c r="G2928" s="47"/>
      <c r="H2928" s="47"/>
      <c r="I2928" s="47"/>
      <c r="J2928" s="47"/>
      <c r="K2928" s="16"/>
      <c r="L2928" s="16"/>
    </row>
    <row r="2929" spans="1:12" ht="12.75">
      <c r="A2929" s="12"/>
      <c r="B2929" s="12"/>
      <c r="C2929" s="12"/>
      <c r="D2929" s="12"/>
      <c r="E2929" s="12"/>
      <c r="F2929" s="12"/>
      <c r="G2929" s="12"/>
      <c r="H2929" s="12"/>
      <c r="I2929" s="12"/>
      <c r="J2929" s="12"/>
      <c r="K2929" s="13"/>
      <c r="L2929" s="13"/>
    </row>
    <row r="2930" spans="1:12" ht="12.75">
      <c r="A2930" s="18" t="s">
        <v>264</v>
      </c>
      <c r="B2930" s="48" t="s">
        <v>266</v>
      </c>
      <c r="C2930" s="48" t="s">
        <v>267</v>
      </c>
      <c r="D2930" s="18" t="s">
        <v>268</v>
      </c>
      <c r="K2930" s="13"/>
      <c r="L2930" s="13"/>
    </row>
    <row r="2931" spans="1:4" ht="12.75">
      <c r="A2931" s="18" t="s">
        <v>265</v>
      </c>
      <c r="B2931" s="48"/>
      <c r="C2931" s="48"/>
      <c r="D2931" s="18" t="s">
        <v>269</v>
      </c>
    </row>
    <row r="2932" spans="1:4" ht="38.25">
      <c r="A2932" s="19" t="s">
        <v>270</v>
      </c>
      <c r="B2932" s="19" t="s">
        <v>271</v>
      </c>
      <c r="C2932" s="19"/>
      <c r="D2932" s="18">
        <f>D2933+D2934+D2935+D2936+D2937+D2938</f>
        <v>0</v>
      </c>
    </row>
    <row r="2933" spans="1:4" ht="38.25">
      <c r="A2933" s="19" t="s">
        <v>19</v>
      </c>
      <c r="B2933" s="20" t="s">
        <v>272</v>
      </c>
      <c r="C2933" s="19"/>
      <c r="D2933" s="18"/>
    </row>
    <row r="2934" spans="1:4" ht="38.25">
      <c r="A2934" s="19" t="s">
        <v>20</v>
      </c>
      <c r="B2934" s="20" t="s">
        <v>273</v>
      </c>
      <c r="C2934" s="19"/>
      <c r="D2934" s="18"/>
    </row>
    <row r="2935" spans="1:4" ht="38.25">
      <c r="A2935" s="21" t="s">
        <v>293</v>
      </c>
      <c r="B2935" s="20" t="s">
        <v>274</v>
      </c>
      <c r="C2935" s="19"/>
      <c r="D2935" s="18"/>
    </row>
    <row r="2936" spans="1:4" ht="38.25">
      <c r="A2936" s="21" t="s">
        <v>292</v>
      </c>
      <c r="B2936" s="20" t="s">
        <v>275</v>
      </c>
      <c r="C2936" s="19"/>
      <c r="D2936" s="18"/>
    </row>
    <row r="2937" spans="1:4" ht="38.25">
      <c r="A2937" s="21" t="s">
        <v>294</v>
      </c>
      <c r="B2937" s="20" t="s">
        <v>276</v>
      </c>
      <c r="C2937" s="19"/>
      <c r="D2937" s="18"/>
    </row>
    <row r="2938" spans="1:4" ht="25.5">
      <c r="A2938" s="21" t="s">
        <v>295</v>
      </c>
      <c r="B2938" s="20" t="s">
        <v>277</v>
      </c>
      <c r="C2938" s="19"/>
      <c r="D2938" s="18"/>
    </row>
    <row r="2939" spans="1:4" ht="12.75">
      <c r="A2939" s="19" t="s">
        <v>278</v>
      </c>
      <c r="B2939" s="19" t="s">
        <v>279</v>
      </c>
      <c r="C2939" s="19"/>
      <c r="D2939" s="18"/>
    </row>
    <row r="2940" spans="1:4" ht="12.75">
      <c r="A2940" s="19" t="s">
        <v>280</v>
      </c>
      <c r="B2940" s="19"/>
      <c r="C2940" s="19"/>
      <c r="D2940" s="18"/>
    </row>
    <row r="2941" spans="1:4" ht="12.75">
      <c r="A2941" s="19" t="s">
        <v>281</v>
      </c>
      <c r="B2941" s="19"/>
      <c r="C2941" s="19"/>
      <c r="D2941" s="18"/>
    </row>
    <row r="2942" spans="1:4" ht="12.75">
      <c r="A2942" s="19" t="s">
        <v>282</v>
      </c>
      <c r="B2942" s="19"/>
      <c r="C2942" s="19"/>
      <c r="D2942" s="18"/>
    </row>
    <row r="2943" ht="12.75">
      <c r="A2943" s="1"/>
    </row>
    <row r="2944" ht="12.75">
      <c r="A2944" s="1" t="s">
        <v>283</v>
      </c>
    </row>
    <row r="2945" ht="12.75">
      <c r="A2945" s="1" t="s">
        <v>284</v>
      </c>
    </row>
    <row r="2946" ht="12.75">
      <c r="A2946" s="1"/>
    </row>
    <row r="2947" ht="12.75">
      <c r="A2947" s="1" t="s">
        <v>285</v>
      </c>
    </row>
    <row r="2948" ht="12.75">
      <c r="A2948" s="1"/>
    </row>
    <row r="2949" ht="12.75">
      <c r="A2949" s="1" t="s">
        <v>286</v>
      </c>
    </row>
    <row r="2950" ht="12.75">
      <c r="A2950" s="1" t="s">
        <v>287</v>
      </c>
    </row>
    <row r="2951" ht="12.75">
      <c r="A2951" s="9"/>
    </row>
    <row r="2952" ht="12.75">
      <c r="A2952" s="9"/>
    </row>
    <row r="2953" spans="1:4" ht="12.75">
      <c r="A2953" s="49" t="s">
        <v>288</v>
      </c>
      <c r="B2953" s="49"/>
      <c r="C2953" s="49"/>
      <c r="D2953" s="49"/>
    </row>
    <row r="2954" ht="12.75">
      <c r="A2954" s="10"/>
    </row>
    <row r="2955" ht="12.75">
      <c r="A2955" s="10"/>
    </row>
    <row r="2956" ht="12.75">
      <c r="A2956" s="10"/>
    </row>
    <row r="2957" ht="12.75">
      <c r="A2957" s="1" t="s">
        <v>286</v>
      </c>
    </row>
    <row r="2958" ht="12.75">
      <c r="A2958" s="1" t="s">
        <v>289</v>
      </c>
    </row>
    <row r="2959" ht="12.75">
      <c r="A2959" s="11"/>
    </row>
    <row r="2960" ht="12.75">
      <c r="A2960" s="11"/>
    </row>
    <row r="2961" ht="12.75">
      <c r="A2961" s="11"/>
    </row>
    <row r="2962" ht="12.75">
      <c r="A2962" s="11"/>
    </row>
    <row r="2963" ht="11.25" customHeight="1">
      <c r="A2963" s="11"/>
    </row>
    <row r="2964" ht="12.75">
      <c r="A2964" s="11"/>
    </row>
    <row r="2968" ht="15.75" customHeight="1"/>
    <row r="2970" ht="27" customHeight="1"/>
    <row r="2971" ht="24.75" customHeight="1"/>
    <row r="2972" ht="26.25" customHeight="1"/>
    <row r="2993" ht="12.75" customHeight="1"/>
    <row r="3005" ht="48" customHeight="1"/>
  </sheetData>
  <sheetProtection/>
  <mergeCells count="544">
    <mergeCell ref="B2891:B2892"/>
    <mergeCell ref="C2891:C2892"/>
    <mergeCell ref="A2953:D2953"/>
    <mergeCell ref="A2925:K2925"/>
    <mergeCell ref="A2926:J2926"/>
    <mergeCell ref="A2927:L2927"/>
    <mergeCell ref="A2928:J2928"/>
    <mergeCell ref="B2930:B2931"/>
    <mergeCell ref="C2930:C2931"/>
    <mergeCell ref="A2912:D2912"/>
    <mergeCell ref="A2886:K2886"/>
    <mergeCell ref="A2887:J2887"/>
    <mergeCell ref="A2888:L2888"/>
    <mergeCell ref="A2889:J2889"/>
    <mergeCell ref="A2852:J2852"/>
    <mergeCell ref="B2854:B2855"/>
    <mergeCell ref="C2854:C2855"/>
    <mergeCell ref="A2768:L2768"/>
    <mergeCell ref="A2769:J2769"/>
    <mergeCell ref="A2849:K2849"/>
    <mergeCell ref="B2771:B2772"/>
    <mergeCell ref="A2850:J2850"/>
    <mergeCell ref="A2851:L2851"/>
    <mergeCell ref="C2771:C2772"/>
    <mergeCell ref="A2812:J2812"/>
    <mergeCell ref="B2814:B2815"/>
    <mergeCell ref="A2792:D2792"/>
    <mergeCell ref="A2754:D2754"/>
    <mergeCell ref="A2763:K2763"/>
    <mergeCell ref="A2764:J2764"/>
    <mergeCell ref="A2765:L2765"/>
    <mergeCell ref="A2835:D2835"/>
    <mergeCell ref="A2875:D2875"/>
    <mergeCell ref="C2814:C2815"/>
    <mergeCell ref="A2809:K2809"/>
    <mergeCell ref="A2810:J2810"/>
    <mergeCell ref="A2811:L2811"/>
    <mergeCell ref="B2656:B2657"/>
    <mergeCell ref="C2656:C2657"/>
    <mergeCell ref="B2731:B2732"/>
    <mergeCell ref="C2731:C2732"/>
    <mergeCell ref="C2694:C2695"/>
    <mergeCell ref="A2727:J2727"/>
    <mergeCell ref="A2728:L2728"/>
    <mergeCell ref="A2717:D2717"/>
    <mergeCell ref="A2726:K2726"/>
    <mergeCell ref="B2694:B2695"/>
    <mergeCell ref="A2642:D2642"/>
    <mergeCell ref="A2651:K2651"/>
    <mergeCell ref="A2689:K2689"/>
    <mergeCell ref="A2729:J2729"/>
    <mergeCell ref="A2652:J2652"/>
    <mergeCell ref="A2653:L2653"/>
    <mergeCell ref="A2654:J2654"/>
    <mergeCell ref="A2690:J2690"/>
    <mergeCell ref="A2691:L2691"/>
    <mergeCell ref="A2692:J2692"/>
    <mergeCell ref="A2606:D2606"/>
    <mergeCell ref="A2615:K2615"/>
    <mergeCell ref="A2616:J2616"/>
    <mergeCell ref="A2617:L2617"/>
    <mergeCell ref="A2618:J2618"/>
    <mergeCell ref="B2620:B2621"/>
    <mergeCell ref="C2620:C2621"/>
    <mergeCell ref="A2569:D2569"/>
    <mergeCell ref="A2767:J2767"/>
    <mergeCell ref="A2766:K2766"/>
    <mergeCell ref="A2578:K2578"/>
    <mergeCell ref="A2579:J2579"/>
    <mergeCell ref="A2580:L2580"/>
    <mergeCell ref="A2679:D2679"/>
    <mergeCell ref="A2581:J2581"/>
    <mergeCell ref="B2583:B2584"/>
    <mergeCell ref="C2583:C2584"/>
    <mergeCell ref="A2532:D2532"/>
    <mergeCell ref="A2541:K2541"/>
    <mergeCell ref="A2542:J2542"/>
    <mergeCell ref="A2543:L2543"/>
    <mergeCell ref="A2544:J2544"/>
    <mergeCell ref="B2546:B2547"/>
    <mergeCell ref="C2546:C2547"/>
    <mergeCell ref="A2493:D2493"/>
    <mergeCell ref="A2503:K2503"/>
    <mergeCell ref="A2504:J2504"/>
    <mergeCell ref="A2505:L2505"/>
    <mergeCell ref="A2506:J2506"/>
    <mergeCell ref="B2508:B2509"/>
    <mergeCell ref="C2508:C2509"/>
    <mergeCell ref="A2456:D2456"/>
    <mergeCell ref="A2465:K2465"/>
    <mergeCell ref="A2466:J2466"/>
    <mergeCell ref="A2467:L2467"/>
    <mergeCell ref="A2468:J2468"/>
    <mergeCell ref="B2470:B2471"/>
    <mergeCell ref="C2470:C2471"/>
    <mergeCell ref="A2419:D2419"/>
    <mergeCell ref="A2428:K2428"/>
    <mergeCell ref="A2429:J2429"/>
    <mergeCell ref="A2430:L2430"/>
    <mergeCell ref="A2431:J2431"/>
    <mergeCell ref="B2433:B2434"/>
    <mergeCell ref="C2433:C2434"/>
    <mergeCell ref="A2382:D2382"/>
    <mergeCell ref="A2391:K2391"/>
    <mergeCell ref="A2392:J2392"/>
    <mergeCell ref="A2393:L2393"/>
    <mergeCell ref="A2394:J2394"/>
    <mergeCell ref="B2396:B2397"/>
    <mergeCell ref="C2396:C2397"/>
    <mergeCell ref="A2354:K2354"/>
    <mergeCell ref="A2355:J2355"/>
    <mergeCell ref="A2356:L2356"/>
    <mergeCell ref="A2357:J2357"/>
    <mergeCell ref="B2359:B2360"/>
    <mergeCell ref="C2359:C2360"/>
    <mergeCell ref="A2318:J2318"/>
    <mergeCell ref="A2319:L2319"/>
    <mergeCell ref="A2320:J2320"/>
    <mergeCell ref="B2322:B2323"/>
    <mergeCell ref="C2322:C2323"/>
    <mergeCell ref="A2345:D2345"/>
    <mergeCell ref="A2282:L2282"/>
    <mergeCell ref="A2283:J2283"/>
    <mergeCell ref="B2285:B2286"/>
    <mergeCell ref="C2285:C2286"/>
    <mergeCell ref="A2308:D2308"/>
    <mergeCell ref="A2317:K2317"/>
    <mergeCell ref="A2280:K2280"/>
    <mergeCell ref="A2281:J2281"/>
    <mergeCell ref="A2269:D2269"/>
    <mergeCell ref="B2239:L2239"/>
    <mergeCell ref="B2240:K2240"/>
    <mergeCell ref="A2241:K2241"/>
    <mergeCell ref="A2229:D2229"/>
    <mergeCell ref="A2244:J2244"/>
    <mergeCell ref="B2246:B2247"/>
    <mergeCell ref="C2246:C2247"/>
    <mergeCell ref="A2242:J2242"/>
    <mergeCell ref="A2243:L2243"/>
    <mergeCell ref="A2192:D2192"/>
    <mergeCell ref="A2201:K2201"/>
    <mergeCell ref="A2202:J2202"/>
    <mergeCell ref="A2203:L2203"/>
    <mergeCell ref="A2204:J2204"/>
    <mergeCell ref="B2206:B2207"/>
    <mergeCell ref="C2206:C2207"/>
    <mergeCell ref="A2155:D2155"/>
    <mergeCell ref="A2164:K2164"/>
    <mergeCell ref="A2165:J2165"/>
    <mergeCell ref="A2166:L2166"/>
    <mergeCell ref="A2167:J2167"/>
    <mergeCell ref="B2169:B2170"/>
    <mergeCell ref="C2169:C2170"/>
    <mergeCell ref="A2118:D2118"/>
    <mergeCell ref="A2127:K2127"/>
    <mergeCell ref="A2128:J2128"/>
    <mergeCell ref="A2129:L2129"/>
    <mergeCell ref="A2130:J2130"/>
    <mergeCell ref="B2132:B2133"/>
    <mergeCell ref="C2132:C2133"/>
    <mergeCell ref="A2090:K2090"/>
    <mergeCell ref="A2091:J2091"/>
    <mergeCell ref="A2092:L2092"/>
    <mergeCell ref="A2093:J2093"/>
    <mergeCell ref="B2095:B2096"/>
    <mergeCell ref="C2095:C2096"/>
    <mergeCell ref="A2054:J2054"/>
    <mergeCell ref="A2055:L2055"/>
    <mergeCell ref="A2056:J2056"/>
    <mergeCell ref="B2058:B2059"/>
    <mergeCell ref="C2058:C2059"/>
    <mergeCell ref="A2081:D2081"/>
    <mergeCell ref="A2018:L2018"/>
    <mergeCell ref="A2019:J2019"/>
    <mergeCell ref="B2021:B2022"/>
    <mergeCell ref="C2021:C2022"/>
    <mergeCell ref="A2044:D2044"/>
    <mergeCell ref="A2053:K2053"/>
    <mergeCell ref="A1982:J1982"/>
    <mergeCell ref="B1984:B1985"/>
    <mergeCell ref="C1984:C1985"/>
    <mergeCell ref="A2007:D2007"/>
    <mergeCell ref="A2016:K2016"/>
    <mergeCell ref="A2017:J2017"/>
    <mergeCell ref="C1946:C1947"/>
    <mergeCell ref="A1970:D1970"/>
    <mergeCell ref="A1979:K1979"/>
    <mergeCell ref="A1980:J1980"/>
    <mergeCell ref="B1946:B1947"/>
    <mergeCell ref="A1981:L1981"/>
    <mergeCell ref="B1909:B1910"/>
    <mergeCell ref="C1909:C1910"/>
    <mergeCell ref="A1932:D1932"/>
    <mergeCell ref="A1905:J1905"/>
    <mergeCell ref="A1906:L1906"/>
    <mergeCell ref="A1907:J1907"/>
    <mergeCell ref="A1840:D1840"/>
    <mergeCell ref="A1904:K1904"/>
    <mergeCell ref="A1848:K1848"/>
    <mergeCell ref="A1849:J1849"/>
    <mergeCell ref="A1850:L1850"/>
    <mergeCell ref="A1851:J1851"/>
    <mergeCell ref="B1853:B1854"/>
    <mergeCell ref="C1853:C1854"/>
    <mergeCell ref="A1876:D1876"/>
    <mergeCell ref="A1802:D1802"/>
    <mergeCell ref="A1812:K1812"/>
    <mergeCell ref="A1813:J1813"/>
    <mergeCell ref="A1814:L1814"/>
    <mergeCell ref="A1815:J1815"/>
    <mergeCell ref="B1817:B1818"/>
    <mergeCell ref="C1817:C1818"/>
    <mergeCell ref="A1765:D1765"/>
    <mergeCell ref="A1774:K1774"/>
    <mergeCell ref="A1775:J1775"/>
    <mergeCell ref="A1776:L1776"/>
    <mergeCell ref="A1777:J1777"/>
    <mergeCell ref="B1779:B1780"/>
    <mergeCell ref="C1779:C1780"/>
    <mergeCell ref="A1728:D1728"/>
    <mergeCell ref="A1737:K1737"/>
    <mergeCell ref="A1738:J1738"/>
    <mergeCell ref="A1739:L1739"/>
    <mergeCell ref="A1740:J1740"/>
    <mergeCell ref="B1742:B1743"/>
    <mergeCell ref="C1742:C1743"/>
    <mergeCell ref="A1690:D1690"/>
    <mergeCell ref="A1699:K1699"/>
    <mergeCell ref="A1700:J1700"/>
    <mergeCell ref="A1701:L1701"/>
    <mergeCell ref="A1702:J1702"/>
    <mergeCell ref="B1704:B1705"/>
    <mergeCell ref="C1704:C1705"/>
    <mergeCell ref="A1653:D1653"/>
    <mergeCell ref="A1662:K1662"/>
    <mergeCell ref="A1663:J1663"/>
    <mergeCell ref="A1664:L1664"/>
    <mergeCell ref="A1665:J1665"/>
    <mergeCell ref="B1667:B1668"/>
    <mergeCell ref="C1667:C1668"/>
    <mergeCell ref="A1615:D1615"/>
    <mergeCell ref="A1624:K1624"/>
    <mergeCell ref="A1625:J1625"/>
    <mergeCell ref="A1626:L1626"/>
    <mergeCell ref="A1627:J1627"/>
    <mergeCell ref="B1629:B1630"/>
    <mergeCell ref="C1629:C1630"/>
    <mergeCell ref="A1587:K1587"/>
    <mergeCell ref="A1588:J1588"/>
    <mergeCell ref="A1589:L1589"/>
    <mergeCell ref="A1590:J1590"/>
    <mergeCell ref="B1592:B1593"/>
    <mergeCell ref="C1592:C1593"/>
    <mergeCell ref="A1498:J1498"/>
    <mergeCell ref="B1500:B1501"/>
    <mergeCell ref="C1500:C1501"/>
    <mergeCell ref="A1578:D1578"/>
    <mergeCell ref="A1553:J1553"/>
    <mergeCell ref="B1555:B1556"/>
    <mergeCell ref="C1555:C1556"/>
    <mergeCell ref="A1550:K1550"/>
    <mergeCell ref="A1551:J1551"/>
    <mergeCell ref="A1552:L1552"/>
    <mergeCell ref="A1460:J1460"/>
    <mergeCell ref="A1461:L1461"/>
    <mergeCell ref="A1523:D1523"/>
    <mergeCell ref="A1462:J1462"/>
    <mergeCell ref="B1464:B1465"/>
    <mergeCell ref="C1464:C1465"/>
    <mergeCell ref="A1487:D1487"/>
    <mergeCell ref="A1495:K1495"/>
    <mergeCell ref="A1496:J1496"/>
    <mergeCell ref="A1497:L1497"/>
    <mergeCell ref="A1424:L1424"/>
    <mergeCell ref="A1425:J1425"/>
    <mergeCell ref="B1427:B1428"/>
    <mergeCell ref="C1427:C1428"/>
    <mergeCell ref="A1450:D1450"/>
    <mergeCell ref="A1459:K1459"/>
    <mergeCell ref="A1388:J1388"/>
    <mergeCell ref="B1390:B1391"/>
    <mergeCell ref="C1390:C1391"/>
    <mergeCell ref="A1413:D1413"/>
    <mergeCell ref="A1422:K1422"/>
    <mergeCell ref="A1423:J1423"/>
    <mergeCell ref="B1353:B1354"/>
    <mergeCell ref="C1353:C1354"/>
    <mergeCell ref="A1376:D1376"/>
    <mergeCell ref="A1385:K1385"/>
    <mergeCell ref="A1386:J1386"/>
    <mergeCell ref="A1387:L1387"/>
    <mergeCell ref="C1316:C1317"/>
    <mergeCell ref="A1339:D1339"/>
    <mergeCell ref="A1348:K1348"/>
    <mergeCell ref="A1349:J1349"/>
    <mergeCell ref="A1350:L1350"/>
    <mergeCell ref="A1351:J1351"/>
    <mergeCell ref="B1207:B1208"/>
    <mergeCell ref="A1311:K1311"/>
    <mergeCell ref="C1207:C1208"/>
    <mergeCell ref="A1230:D1230"/>
    <mergeCell ref="A1302:D1302"/>
    <mergeCell ref="A1277:J1277"/>
    <mergeCell ref="B1279:B1280"/>
    <mergeCell ref="C1279:C1280"/>
    <mergeCell ref="A1155:D1155"/>
    <mergeCell ref="A1276:L1276"/>
    <mergeCell ref="A1165:J1165"/>
    <mergeCell ref="B1167:B1168"/>
    <mergeCell ref="C1167:C1168"/>
    <mergeCell ref="A1190:D1190"/>
    <mergeCell ref="A1202:K1202"/>
    <mergeCell ref="A1203:J1203"/>
    <mergeCell ref="A1204:L1204"/>
    <mergeCell ref="A1205:J1205"/>
    <mergeCell ref="A1118:D1118"/>
    <mergeCell ref="A1127:K1127"/>
    <mergeCell ref="A1128:J1128"/>
    <mergeCell ref="A1129:L1129"/>
    <mergeCell ref="A1130:J1130"/>
    <mergeCell ref="B1132:B1133"/>
    <mergeCell ref="C1132:C1133"/>
    <mergeCell ref="A1081:D1081"/>
    <mergeCell ref="A1090:K1090"/>
    <mergeCell ref="A1091:J1091"/>
    <mergeCell ref="A1092:L1092"/>
    <mergeCell ref="A1093:J1093"/>
    <mergeCell ref="B1095:B1096"/>
    <mergeCell ref="C1095:C1096"/>
    <mergeCell ref="A1044:D1044"/>
    <mergeCell ref="A1053:K1053"/>
    <mergeCell ref="A1054:J1054"/>
    <mergeCell ref="A1055:L1055"/>
    <mergeCell ref="A1056:J1056"/>
    <mergeCell ref="B1058:B1059"/>
    <mergeCell ref="C1058:C1059"/>
    <mergeCell ref="A1009:D1009"/>
    <mergeCell ref="A1016:K1016"/>
    <mergeCell ref="A1017:J1017"/>
    <mergeCell ref="A1018:L1018"/>
    <mergeCell ref="A1019:J1019"/>
    <mergeCell ref="B1021:B1022"/>
    <mergeCell ref="C1021:C1022"/>
    <mergeCell ref="A972:D972"/>
    <mergeCell ref="A981:K981"/>
    <mergeCell ref="A982:J982"/>
    <mergeCell ref="A983:L983"/>
    <mergeCell ref="A984:J984"/>
    <mergeCell ref="B986:B987"/>
    <mergeCell ref="C986:C987"/>
    <mergeCell ref="A934:D934"/>
    <mergeCell ref="A943:K943"/>
    <mergeCell ref="A944:J944"/>
    <mergeCell ref="A945:L945"/>
    <mergeCell ref="A946:J946"/>
    <mergeCell ref="B948:B949"/>
    <mergeCell ref="C948:C949"/>
    <mergeCell ref="A897:D897"/>
    <mergeCell ref="A906:K906"/>
    <mergeCell ref="A907:J907"/>
    <mergeCell ref="A908:L908"/>
    <mergeCell ref="A909:J909"/>
    <mergeCell ref="B911:B912"/>
    <mergeCell ref="C911:C912"/>
    <mergeCell ref="A860:D860"/>
    <mergeCell ref="A869:K869"/>
    <mergeCell ref="A870:J870"/>
    <mergeCell ref="A871:L871"/>
    <mergeCell ref="A872:J872"/>
    <mergeCell ref="B874:B875"/>
    <mergeCell ref="C874:C875"/>
    <mergeCell ref="A825:D825"/>
    <mergeCell ref="A832:K832"/>
    <mergeCell ref="A833:J833"/>
    <mergeCell ref="A834:L834"/>
    <mergeCell ref="A835:J835"/>
    <mergeCell ref="B837:B838"/>
    <mergeCell ref="C837:C838"/>
    <mergeCell ref="A788:D788"/>
    <mergeCell ref="A797:K797"/>
    <mergeCell ref="A798:J798"/>
    <mergeCell ref="A799:L799"/>
    <mergeCell ref="A800:J800"/>
    <mergeCell ref="B802:B803"/>
    <mergeCell ref="C802:C803"/>
    <mergeCell ref="A750:D750"/>
    <mergeCell ref="A759:K759"/>
    <mergeCell ref="A760:J760"/>
    <mergeCell ref="A761:L761"/>
    <mergeCell ref="A762:J762"/>
    <mergeCell ref="B764:B765"/>
    <mergeCell ref="C764:C765"/>
    <mergeCell ref="A713:D713"/>
    <mergeCell ref="A722:K722"/>
    <mergeCell ref="A723:J723"/>
    <mergeCell ref="A724:L724"/>
    <mergeCell ref="A725:J725"/>
    <mergeCell ref="B727:B728"/>
    <mergeCell ref="C727:C728"/>
    <mergeCell ref="A676:D676"/>
    <mergeCell ref="A685:K685"/>
    <mergeCell ref="A686:J686"/>
    <mergeCell ref="A687:L687"/>
    <mergeCell ref="A688:J688"/>
    <mergeCell ref="B690:B691"/>
    <mergeCell ref="C690:C691"/>
    <mergeCell ref="A639:D639"/>
    <mergeCell ref="A648:K648"/>
    <mergeCell ref="A649:J649"/>
    <mergeCell ref="A650:L650"/>
    <mergeCell ref="A651:J651"/>
    <mergeCell ref="B653:B654"/>
    <mergeCell ref="C653:C654"/>
    <mergeCell ref="A602:D602"/>
    <mergeCell ref="A611:K611"/>
    <mergeCell ref="A612:J612"/>
    <mergeCell ref="A613:L613"/>
    <mergeCell ref="A614:J614"/>
    <mergeCell ref="B616:B617"/>
    <mergeCell ref="C616:C617"/>
    <mergeCell ref="A565:D565"/>
    <mergeCell ref="A574:K574"/>
    <mergeCell ref="A575:J575"/>
    <mergeCell ref="A576:L576"/>
    <mergeCell ref="A577:J577"/>
    <mergeCell ref="B579:B580"/>
    <mergeCell ref="C579:C580"/>
    <mergeCell ref="A528:D528"/>
    <mergeCell ref="A537:K537"/>
    <mergeCell ref="A538:J538"/>
    <mergeCell ref="A539:L539"/>
    <mergeCell ref="A540:J540"/>
    <mergeCell ref="B542:B543"/>
    <mergeCell ref="C542:C543"/>
    <mergeCell ref="A491:D491"/>
    <mergeCell ref="A500:K500"/>
    <mergeCell ref="A501:J501"/>
    <mergeCell ref="A502:L502"/>
    <mergeCell ref="A503:J503"/>
    <mergeCell ref="B505:B506"/>
    <mergeCell ref="C505:C506"/>
    <mergeCell ref="A454:D454"/>
    <mergeCell ref="A463:K463"/>
    <mergeCell ref="A464:J464"/>
    <mergeCell ref="A465:L465"/>
    <mergeCell ref="A466:J466"/>
    <mergeCell ref="B468:B469"/>
    <mergeCell ref="C468:C469"/>
    <mergeCell ref="A417:D417"/>
    <mergeCell ref="A426:K426"/>
    <mergeCell ref="A427:J427"/>
    <mergeCell ref="A428:L428"/>
    <mergeCell ref="A429:J429"/>
    <mergeCell ref="B431:B432"/>
    <mergeCell ref="C431:C432"/>
    <mergeCell ref="A388:K388"/>
    <mergeCell ref="A389:J389"/>
    <mergeCell ref="A390:L390"/>
    <mergeCell ref="A391:J391"/>
    <mergeCell ref="B393:B394"/>
    <mergeCell ref="C393:C394"/>
    <mergeCell ref="A352:J352"/>
    <mergeCell ref="A353:L353"/>
    <mergeCell ref="A354:J354"/>
    <mergeCell ref="B356:B357"/>
    <mergeCell ref="C356:C357"/>
    <mergeCell ref="A379:D379"/>
    <mergeCell ref="A249:D249"/>
    <mergeCell ref="A317:J317"/>
    <mergeCell ref="B319:B320"/>
    <mergeCell ref="C319:C320"/>
    <mergeCell ref="A342:D342"/>
    <mergeCell ref="A351:K351"/>
    <mergeCell ref="A212:D212"/>
    <mergeCell ref="A277:K277"/>
    <mergeCell ref="A278:J278"/>
    <mergeCell ref="A279:L279"/>
    <mergeCell ref="A221:K221"/>
    <mergeCell ref="A222:J222"/>
    <mergeCell ref="A223:L223"/>
    <mergeCell ref="A224:J224"/>
    <mergeCell ref="B226:B227"/>
    <mergeCell ref="C226:C227"/>
    <mergeCell ref="A174:D174"/>
    <mergeCell ref="A184:K184"/>
    <mergeCell ref="A185:J185"/>
    <mergeCell ref="A186:L186"/>
    <mergeCell ref="A187:J187"/>
    <mergeCell ref="B189:B190"/>
    <mergeCell ref="C189:C190"/>
    <mergeCell ref="A146:K146"/>
    <mergeCell ref="A147:J147"/>
    <mergeCell ref="A148:L148"/>
    <mergeCell ref="A149:J149"/>
    <mergeCell ref="B151:B152"/>
    <mergeCell ref="C151:C152"/>
    <mergeCell ref="A112:J112"/>
    <mergeCell ref="A113:L113"/>
    <mergeCell ref="A114:J114"/>
    <mergeCell ref="B116:B117"/>
    <mergeCell ref="C116:C117"/>
    <mergeCell ref="A139:D139"/>
    <mergeCell ref="A78:L78"/>
    <mergeCell ref="A79:J79"/>
    <mergeCell ref="B81:B82"/>
    <mergeCell ref="C81:C82"/>
    <mergeCell ref="A111:K111"/>
    <mergeCell ref="A105:D105"/>
    <mergeCell ref="A37:K37"/>
    <mergeCell ref="A38:J38"/>
    <mergeCell ref="A39:L39"/>
    <mergeCell ref="A65:D65"/>
    <mergeCell ref="A76:K76"/>
    <mergeCell ref="A77:J77"/>
    <mergeCell ref="A1:K1"/>
    <mergeCell ref="A3:L3"/>
    <mergeCell ref="A2:J2"/>
    <mergeCell ref="A4:J4"/>
    <mergeCell ref="A40:J40"/>
    <mergeCell ref="B42:B43"/>
    <mergeCell ref="C42:C43"/>
    <mergeCell ref="B6:B7"/>
    <mergeCell ref="C6:C7"/>
    <mergeCell ref="A29:D29"/>
    <mergeCell ref="A1162:K1162"/>
    <mergeCell ref="A1163:J1163"/>
    <mergeCell ref="A1164:L1164"/>
    <mergeCell ref="A280:J280"/>
    <mergeCell ref="B282:B283"/>
    <mergeCell ref="C282:C283"/>
    <mergeCell ref="A305:D305"/>
    <mergeCell ref="A314:K314"/>
    <mergeCell ref="A315:J315"/>
    <mergeCell ref="A316:L316"/>
    <mergeCell ref="A1943:L1943"/>
    <mergeCell ref="A1944:J1944"/>
    <mergeCell ref="A1274:K1274"/>
    <mergeCell ref="A1275:J1275"/>
    <mergeCell ref="A1941:K1941"/>
    <mergeCell ref="A1942:J1942"/>
    <mergeCell ref="A1312:J1312"/>
    <mergeCell ref="A1313:L1313"/>
    <mergeCell ref="A1314:J1314"/>
    <mergeCell ref="B1316:B13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Илья</cp:lastModifiedBy>
  <cp:lastPrinted>2018-03-30T13:00:38Z</cp:lastPrinted>
  <dcterms:created xsi:type="dcterms:W3CDTF">2008-10-08T17:54:13Z</dcterms:created>
  <dcterms:modified xsi:type="dcterms:W3CDTF">2018-04-02T10:25:00Z</dcterms:modified>
  <cp:category/>
  <cp:version/>
  <cp:contentType/>
  <cp:contentStatus/>
</cp:coreProperties>
</file>